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DP---KNA\1101819710\2016\"/>
    </mc:Choice>
  </mc:AlternateContent>
  <bookViews>
    <workbookView xWindow="0" yWindow="1875" windowWidth="14820" windowHeight="69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10">OFFSET(TH!#REF!,,,COUNTA(TH!#REF!))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'331'!$A$1:$H$20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TH!$I$10:$I$1511</definedName>
    <definedName name="TH">TH!$K$10:$K$1511</definedName>
    <definedName name="TM">TH!$A$10:$M$1511</definedName>
  </definedNames>
  <calcPr calcId="162913"/>
</workbook>
</file>

<file path=xl/calcChain.xml><?xml version="1.0" encoding="utf-8"?>
<calcChain xmlns="http://schemas.openxmlformats.org/spreadsheetml/2006/main">
  <c r="C10" i="34" l="1"/>
  <c r="E43" i="68" s="1"/>
  <c r="R10" i="34"/>
  <c r="R11" i="34"/>
  <c r="R12" i="34"/>
  <c r="R13" i="34"/>
  <c r="R14" i="34"/>
  <c r="R15" i="34"/>
  <c r="R16" i="34"/>
  <c r="R17" i="34"/>
  <c r="N8" i="43"/>
  <c r="O8" i="43"/>
  <c r="B18" i="34"/>
  <c r="I6" i="43"/>
  <c r="R19" i="34"/>
  <c r="R20" i="34"/>
  <c r="B21" i="34"/>
  <c r="R21" i="34" s="1"/>
  <c r="B22" i="34"/>
  <c r="R22" i="34" s="1"/>
  <c r="R23" i="34"/>
  <c r="R24" i="34"/>
  <c r="R25" i="34"/>
  <c r="R26" i="34"/>
  <c r="R27" i="34"/>
  <c r="R28" i="34"/>
  <c r="R29" i="34"/>
  <c r="R30" i="34"/>
  <c r="R31" i="34"/>
  <c r="R32" i="34"/>
  <c r="B33" i="34"/>
  <c r="R33" i="34" s="1"/>
  <c r="B34" i="34"/>
  <c r="B35" i="34"/>
  <c r="R36" i="34"/>
  <c r="R37" i="34"/>
  <c r="R38" i="34"/>
  <c r="R39" i="34"/>
  <c r="R40" i="34"/>
  <c r="C41" i="34"/>
  <c r="B41" i="34" s="1"/>
  <c r="C42" i="34"/>
  <c r="B42" i="34" s="1"/>
  <c r="R42" i="34" s="1"/>
  <c r="C43" i="34"/>
  <c r="B43" i="34" s="1"/>
  <c r="C44" i="34"/>
  <c r="B44" i="34" s="1"/>
  <c r="C45" i="34"/>
  <c r="B45" i="34" s="1"/>
  <c r="C46" i="34"/>
  <c r="B46" i="34" s="1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C104" i="34"/>
  <c r="B104" i="34" s="1"/>
  <c r="C105" i="34"/>
  <c r="B105" i="34" s="1"/>
  <c r="C106" i="34"/>
  <c r="B106" i="34" s="1"/>
  <c r="R107" i="34"/>
  <c r="R108" i="34"/>
  <c r="R109" i="34"/>
  <c r="R110" i="34"/>
  <c r="C111" i="34"/>
  <c r="B111" i="34" s="1"/>
  <c r="R111" i="34" s="1"/>
  <c r="R112" i="34"/>
  <c r="R113" i="34"/>
  <c r="R114" i="34"/>
  <c r="R115" i="34"/>
  <c r="C116" i="34"/>
  <c r="B116" i="34" s="1"/>
  <c r="C117" i="34"/>
  <c r="B117" i="34" s="1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C133" i="34"/>
  <c r="B133" i="34" s="1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C182" i="34"/>
  <c r="B182" i="34" s="1"/>
  <c r="C183" i="34"/>
  <c r="B183" i="34" s="1"/>
  <c r="C184" i="34"/>
  <c r="B184" i="34" s="1"/>
  <c r="R184" i="34" s="1"/>
  <c r="R185" i="34"/>
  <c r="R186" i="34"/>
  <c r="R187" i="34"/>
  <c r="R188" i="34"/>
  <c r="R189" i="34"/>
  <c r="R190" i="34"/>
  <c r="R191" i="34"/>
  <c r="R192" i="34"/>
  <c r="C193" i="34"/>
  <c r="B193" i="34" s="1"/>
  <c r="C194" i="34"/>
  <c r="B194" i="34" s="1"/>
  <c r="R194" i="34" s="1"/>
  <c r="C195" i="34"/>
  <c r="B195" i="34" s="1"/>
  <c r="R195" i="34" s="1"/>
  <c r="C196" i="34"/>
  <c r="B196" i="34" s="1"/>
  <c r="R196" i="34" s="1"/>
  <c r="C197" i="34"/>
  <c r="B197" i="34" s="1"/>
  <c r="C198" i="34"/>
  <c r="B198" i="34" s="1"/>
  <c r="C199" i="34"/>
  <c r="B199" i="34" s="1"/>
  <c r="R199" i="34" s="1"/>
  <c r="C200" i="34"/>
  <c r="B200" i="34" s="1"/>
  <c r="R200" i="34" s="1"/>
  <c r="C201" i="34"/>
  <c r="B201" i="34"/>
  <c r="R201" i="34" s="1"/>
  <c r="C202" i="34"/>
  <c r="B202" i="34" s="1"/>
  <c r="C203" i="34"/>
  <c r="B203" i="34" s="1"/>
  <c r="R203" i="34" s="1"/>
  <c r="C204" i="34"/>
  <c r="B204" i="34" s="1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C217" i="34"/>
  <c r="B217" i="34" s="1"/>
  <c r="R217" i="34" s="1"/>
  <c r="C218" i="34"/>
  <c r="B218" i="34" s="1"/>
  <c r="R218" i="34" s="1"/>
  <c r="C219" i="34"/>
  <c r="B219" i="34" s="1"/>
  <c r="C220" i="34"/>
  <c r="B220" i="34" s="1"/>
  <c r="C221" i="34"/>
  <c r="B221" i="34" s="1"/>
  <c r="C222" i="34"/>
  <c r="B222" i="34" s="1"/>
  <c r="C223" i="34"/>
  <c r="B223" i="34" s="1"/>
  <c r="R223" i="34" s="1"/>
  <c r="C224" i="34"/>
  <c r="B224" i="34" s="1"/>
  <c r="R224" i="34" s="1"/>
  <c r="R225" i="34"/>
  <c r="R226" i="34"/>
  <c r="R227" i="34"/>
  <c r="R228" i="34"/>
  <c r="C229" i="34"/>
  <c r="B229" i="34" s="1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C256" i="34"/>
  <c r="B256" i="34" s="1"/>
  <c r="R257" i="34"/>
  <c r="R258" i="34"/>
  <c r="R259" i="34"/>
  <c r="R260" i="34"/>
  <c r="R261" i="34"/>
  <c r="R262" i="34"/>
  <c r="R263" i="34"/>
  <c r="R264" i="34"/>
  <c r="R265" i="34"/>
  <c r="C266" i="34"/>
  <c r="B266" i="34" s="1"/>
  <c r="C267" i="34"/>
  <c r="B267" i="34" s="1"/>
  <c r="C268" i="34"/>
  <c r="B268" i="34" s="1"/>
  <c r="R268" i="34" s="1"/>
  <c r="C269" i="34"/>
  <c r="B269" i="34" s="1"/>
  <c r="R269" i="34" s="1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C312" i="34"/>
  <c r="B312" i="34" s="1"/>
  <c r="R312" i="34" s="1"/>
  <c r="C313" i="34"/>
  <c r="B313" i="34" s="1"/>
  <c r="R313" i="34" s="1"/>
  <c r="C314" i="34"/>
  <c r="B314" i="34" s="1"/>
  <c r="C315" i="34"/>
  <c r="B315" i="34" s="1"/>
  <c r="R315" i="34" s="1"/>
  <c r="C316" i="34"/>
  <c r="B316" i="34" s="1"/>
  <c r="R316" i="34" s="1"/>
  <c r="R317" i="34"/>
  <c r="R318" i="34"/>
  <c r="R319" i="34"/>
  <c r="R320" i="34"/>
  <c r="R321" i="34"/>
  <c r="C322" i="34"/>
  <c r="B322" i="34" s="1"/>
  <c r="C323" i="34"/>
  <c r="B323" i="34" s="1"/>
  <c r="C324" i="34"/>
  <c r="B324" i="34" s="1"/>
  <c r="R324" i="34" s="1"/>
  <c r="C325" i="34"/>
  <c r="B325" i="34" s="1"/>
  <c r="C326" i="34"/>
  <c r="B326" i="34" s="1"/>
  <c r="C327" i="34"/>
  <c r="B327" i="34" s="1"/>
  <c r="R327" i="34" s="1"/>
  <c r="R328" i="34"/>
  <c r="R329" i="34"/>
  <c r="R330" i="34"/>
  <c r="R331" i="34"/>
  <c r="C332" i="34"/>
  <c r="B332" i="34" s="1"/>
  <c r="R333" i="34"/>
  <c r="R334" i="34"/>
  <c r="R335" i="34"/>
  <c r="R336" i="34"/>
  <c r="C337" i="34"/>
  <c r="B337" i="34" s="1"/>
  <c r="C338" i="34"/>
  <c r="B338" i="34" s="1"/>
  <c r="R338" i="34" s="1"/>
  <c r="R339" i="34"/>
  <c r="R340" i="34"/>
  <c r="R341" i="34"/>
  <c r="R342" i="34"/>
  <c r="R343" i="34"/>
  <c r="R344" i="34"/>
  <c r="R345" i="34"/>
  <c r="R346" i="34"/>
  <c r="C347" i="34"/>
  <c r="B347" i="34" s="1"/>
  <c r="R347" i="34" s="1"/>
  <c r="C348" i="34"/>
  <c r="B348" i="34" s="1"/>
  <c r="C349" i="34"/>
  <c r="B349" i="34"/>
  <c r="R349" i="34" s="1"/>
  <c r="C350" i="34"/>
  <c r="B350" i="34" s="1"/>
  <c r="R350" i="34" s="1"/>
  <c r="C351" i="34"/>
  <c r="B351" i="34" s="1"/>
  <c r="R351" i="34" s="1"/>
  <c r="C352" i="34"/>
  <c r="B352" i="34" s="1"/>
  <c r="C353" i="34"/>
  <c r="B353" i="34" s="1"/>
  <c r="R354" i="34"/>
  <c r="R355" i="34"/>
  <c r="R356" i="34"/>
  <c r="C357" i="34"/>
  <c r="B357" i="34" s="1"/>
  <c r="C358" i="34"/>
  <c r="B358" i="34" s="1"/>
  <c r="R358" i="34" s="1"/>
  <c r="C359" i="34"/>
  <c r="B359" i="34" s="1"/>
  <c r="C360" i="34"/>
  <c r="B360" i="34" s="1"/>
  <c r="R360" i="34" s="1"/>
  <c r="C361" i="34"/>
  <c r="B361" i="34" s="1"/>
  <c r="R361" i="34" s="1"/>
  <c r="C362" i="34"/>
  <c r="B362" i="34" s="1"/>
  <c r="R362" i="34" s="1"/>
  <c r="C363" i="34"/>
  <c r="B363" i="34" s="1"/>
  <c r="R364" i="34"/>
  <c r="R365" i="34"/>
  <c r="R366" i="34"/>
  <c r="R367" i="34"/>
  <c r="C368" i="34"/>
  <c r="B368" i="34" s="1"/>
  <c r="C369" i="34"/>
  <c r="B369" i="34" s="1"/>
  <c r="R369" i="34" s="1"/>
  <c r="C370" i="34"/>
  <c r="B370" i="34"/>
  <c r="C371" i="34"/>
  <c r="B371" i="34" s="1"/>
  <c r="C372" i="34"/>
  <c r="B372" i="34" s="1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R385" i="34"/>
  <c r="R386" i="34"/>
  <c r="R387" i="34"/>
  <c r="R388" i="34"/>
  <c r="R389" i="34"/>
  <c r="R390" i="34"/>
  <c r="R391" i="34"/>
  <c r="R392" i="34"/>
  <c r="R393" i="34"/>
  <c r="R394" i="34"/>
  <c r="R395" i="34"/>
  <c r="R396" i="34"/>
  <c r="R397" i="34"/>
  <c r="R398" i="34"/>
  <c r="R399" i="34"/>
  <c r="R400" i="34"/>
  <c r="C401" i="34"/>
  <c r="B401" i="34" s="1"/>
  <c r="R402" i="34"/>
  <c r="R403" i="34"/>
  <c r="R404" i="34"/>
  <c r="R405" i="34"/>
  <c r="R406" i="34"/>
  <c r="C407" i="34"/>
  <c r="B407" i="34" s="1"/>
  <c r="R407" i="34" s="1"/>
  <c r="R408" i="34"/>
  <c r="R409" i="34"/>
  <c r="C410" i="34"/>
  <c r="B410" i="34" s="1"/>
  <c r="C411" i="34"/>
  <c r="B411" i="34" s="1"/>
  <c r="C412" i="34"/>
  <c r="B412" i="34" s="1"/>
  <c r="R412" i="34" s="1"/>
  <c r="C413" i="34"/>
  <c r="B413" i="34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C433" i="34"/>
  <c r="B433" i="34" s="1"/>
  <c r="R434" i="34"/>
  <c r="R435" i="34"/>
  <c r="R436" i="34"/>
  <c r="R437" i="34"/>
  <c r="R438" i="34"/>
  <c r="C439" i="34"/>
  <c r="B439" i="34" s="1"/>
  <c r="R439" i="34" s="1"/>
  <c r="R440" i="34"/>
  <c r="R441" i="34"/>
  <c r="R442" i="34"/>
  <c r="R443" i="34"/>
  <c r="R444" i="34"/>
  <c r="R445" i="34"/>
  <c r="R446" i="34"/>
  <c r="R447" i="34"/>
  <c r="R448" i="34"/>
  <c r="R449" i="34"/>
  <c r="R450" i="34"/>
  <c r="C451" i="34"/>
  <c r="B451" i="34" s="1"/>
  <c r="C452" i="34"/>
  <c r="B452" i="34" s="1"/>
  <c r="R453" i="34"/>
  <c r="R454" i="34"/>
  <c r="R455" i="34"/>
  <c r="R456" i="34"/>
  <c r="R457" i="34"/>
  <c r="R458" i="34"/>
  <c r="C459" i="34"/>
  <c r="B459" i="34" s="1"/>
  <c r="R459" i="34" s="1"/>
  <c r="R460" i="34"/>
  <c r="R461" i="34"/>
  <c r="R462" i="34"/>
  <c r="R463" i="34"/>
  <c r="R464" i="34"/>
  <c r="C465" i="34"/>
  <c r="B465" i="34" s="1"/>
  <c r="C466" i="34"/>
  <c r="B466" i="34" s="1"/>
  <c r="R466" i="34" s="1"/>
  <c r="C467" i="34"/>
  <c r="B467" i="34" s="1"/>
  <c r="C468" i="34"/>
  <c r="B468" i="34" s="1"/>
  <c r="R468" i="34" s="1"/>
  <c r="C469" i="34"/>
  <c r="B469" i="34"/>
  <c r="R469" i="34" s="1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C499" i="34"/>
  <c r="B499" i="34" s="1"/>
  <c r="R499" i="34" s="1"/>
  <c r="R500" i="34"/>
  <c r="R501" i="34"/>
  <c r="R502" i="34"/>
  <c r="R503" i="34"/>
  <c r="C504" i="34"/>
  <c r="B504" i="34" s="1"/>
  <c r="C505" i="34"/>
  <c r="B505" i="34" s="1"/>
  <c r="R505" i="34" s="1"/>
  <c r="C506" i="34"/>
  <c r="B506" i="34" s="1"/>
  <c r="C507" i="34"/>
  <c r="B507" i="34" s="1"/>
  <c r="R507" i="34" s="1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C531" i="34"/>
  <c r="B531" i="34" s="1"/>
  <c r="R532" i="34"/>
  <c r="R533" i="34"/>
  <c r="R534" i="34"/>
  <c r="C535" i="34"/>
  <c r="B535" i="34" s="1"/>
  <c r="C536" i="34"/>
  <c r="B536" i="34" s="1"/>
  <c r="C537" i="34"/>
  <c r="B537" i="34" s="1"/>
  <c r="C538" i="34"/>
  <c r="B538" i="34" s="1"/>
  <c r="R538" i="34" s="1"/>
  <c r="R539" i="34"/>
  <c r="R540" i="34"/>
  <c r="R541" i="34"/>
  <c r="R542" i="34"/>
  <c r="R543" i="34"/>
  <c r="C544" i="34"/>
  <c r="B544" i="34" s="1"/>
  <c r="C545" i="34"/>
  <c r="B545" i="34"/>
  <c r="R545" i="34" s="1"/>
  <c r="C546" i="34"/>
  <c r="B546" i="34"/>
  <c r="C547" i="34"/>
  <c r="B547" i="34" s="1"/>
  <c r="C548" i="34"/>
  <c r="B548" i="34" s="1"/>
  <c r="R548" i="34" s="1"/>
  <c r="C549" i="34"/>
  <c r="B549" i="34" s="1"/>
  <c r="R550" i="34"/>
  <c r="R551" i="34"/>
  <c r="C552" i="34"/>
  <c r="B552" i="34" s="1"/>
  <c r="R552" i="34" s="1"/>
  <c r="C553" i="34"/>
  <c r="B553" i="34" s="1"/>
  <c r="C554" i="34"/>
  <c r="B554" i="34" s="1"/>
  <c r="C555" i="34"/>
  <c r="B555" i="34" s="1"/>
  <c r="C556" i="34"/>
  <c r="B556" i="34" s="1"/>
  <c r="R556" i="34" s="1"/>
  <c r="C557" i="34"/>
  <c r="B557" i="34"/>
  <c r="C558" i="34"/>
  <c r="B558" i="34"/>
  <c r="R558" i="34" s="1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C577" i="34"/>
  <c r="B577" i="34" s="1"/>
  <c r="R578" i="34"/>
  <c r="R579" i="34"/>
  <c r="R580" i="34"/>
  <c r="R581" i="34"/>
  <c r="R582" i="34"/>
  <c r="R583" i="34"/>
  <c r="R584" i="34"/>
  <c r="R585" i="34"/>
  <c r="C586" i="34"/>
  <c r="B586" i="34" s="1"/>
  <c r="R586" i="34" s="1"/>
  <c r="C587" i="34"/>
  <c r="B587" i="34" s="1"/>
  <c r="C588" i="34"/>
  <c r="B588" i="34" s="1"/>
  <c r="C589" i="34"/>
  <c r="B589" i="34"/>
  <c r="R589" i="34" s="1"/>
  <c r="C590" i="34"/>
  <c r="B590" i="34" s="1"/>
  <c r="C591" i="34"/>
  <c r="B591" i="34" s="1"/>
  <c r="C592" i="34"/>
  <c r="B592" i="34" s="1"/>
  <c r="C593" i="34"/>
  <c r="B593" i="34" s="1"/>
  <c r="R593" i="34" s="1"/>
  <c r="C594" i="34"/>
  <c r="B594" i="34" s="1"/>
  <c r="C595" i="34"/>
  <c r="B595" i="34" s="1"/>
  <c r="C596" i="34"/>
  <c r="B596" i="34" s="1"/>
  <c r="C597" i="34"/>
  <c r="B597" i="34" s="1"/>
  <c r="R597" i="34" s="1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C636" i="34"/>
  <c r="B636" i="34" s="1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C654" i="34"/>
  <c r="B654" i="34"/>
  <c r="R654" i="34" s="1"/>
  <c r="C655" i="34"/>
  <c r="B655" i="34" s="1"/>
  <c r="C656" i="34"/>
  <c r="B656" i="34" s="1"/>
  <c r="R656" i="34" s="1"/>
  <c r="C657" i="34"/>
  <c r="B657" i="34" s="1"/>
  <c r="R658" i="34"/>
  <c r="R659" i="34"/>
  <c r="R660" i="34"/>
  <c r="R661" i="34"/>
  <c r="R662" i="34"/>
  <c r="R663" i="34"/>
  <c r="C664" i="34"/>
  <c r="B664" i="34" s="1"/>
  <c r="R664" i="34" s="1"/>
  <c r="C665" i="34"/>
  <c r="B665" i="34"/>
  <c r="R665" i="34" s="1"/>
  <c r="R666" i="34"/>
  <c r="R667" i="34"/>
  <c r="R668" i="34"/>
  <c r="R669" i="34"/>
  <c r="C670" i="34"/>
  <c r="B670" i="34" s="1"/>
  <c r="C671" i="34"/>
  <c r="B671" i="34" s="1"/>
  <c r="R671" i="34" s="1"/>
  <c r="C672" i="34"/>
  <c r="B672" i="34" s="1"/>
  <c r="C673" i="34"/>
  <c r="B673" i="34" s="1"/>
  <c r="R673" i="34" s="1"/>
  <c r="C674" i="34"/>
  <c r="B674" i="34" s="1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C706" i="34"/>
  <c r="B706" i="34" s="1"/>
  <c r="R706" i="34" s="1"/>
  <c r="C707" i="34"/>
  <c r="B707" i="34" s="1"/>
  <c r="C708" i="34"/>
  <c r="B708" i="34" s="1"/>
  <c r="R708" i="34" s="1"/>
  <c r="C709" i="34"/>
  <c r="B709" i="34" s="1"/>
  <c r="R709" i="34" s="1"/>
  <c r="R710" i="34"/>
  <c r="R711" i="34"/>
  <c r="R712" i="34"/>
  <c r="C713" i="34"/>
  <c r="B713" i="34" s="1"/>
  <c r="R713" i="34" s="1"/>
  <c r="C714" i="34"/>
  <c r="B714" i="34" s="1"/>
  <c r="C715" i="34"/>
  <c r="B715" i="34" s="1"/>
  <c r="C716" i="34"/>
  <c r="B716" i="34" s="1"/>
  <c r="R716" i="34" s="1"/>
  <c r="C717" i="34"/>
  <c r="B717" i="34"/>
  <c r="R717" i="34" s="1"/>
  <c r="C718" i="34"/>
  <c r="B718" i="34" s="1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C734" i="34"/>
  <c r="B734" i="34"/>
  <c r="R734" i="34" s="1"/>
  <c r="C735" i="34"/>
  <c r="B735" i="34" s="1"/>
  <c r="R735" i="34" s="1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C782" i="34"/>
  <c r="B782" i="34" s="1"/>
  <c r="R782" i="34" s="1"/>
  <c r="R783" i="34"/>
  <c r="R784" i="34"/>
  <c r="R785" i="34"/>
  <c r="R786" i="34"/>
  <c r="R787" i="34"/>
  <c r="R788" i="34"/>
  <c r="C789" i="34"/>
  <c r="B789" i="34" s="1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C804" i="34"/>
  <c r="B804" i="34" s="1"/>
  <c r="C805" i="34"/>
  <c r="B805" i="34"/>
  <c r="R805" i="34" s="1"/>
  <c r="R806" i="34"/>
  <c r="R807" i="34"/>
  <c r="R808" i="34"/>
  <c r="R809" i="34"/>
  <c r="R810" i="34"/>
  <c r="C811" i="34"/>
  <c r="B811" i="34" s="1"/>
  <c r="R811" i="34" s="1"/>
  <c r="C812" i="34"/>
  <c r="B812" i="34" s="1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C828" i="34"/>
  <c r="B828" i="34"/>
  <c r="R828" i="34" s="1"/>
  <c r="C829" i="34"/>
  <c r="B829" i="34"/>
  <c r="C830" i="34"/>
  <c r="B830" i="34" s="1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B17" i="34"/>
  <c r="B19" i="34"/>
  <c r="B20" i="34"/>
  <c r="O21" i="34"/>
  <c r="B23" i="34"/>
  <c r="B24" i="34"/>
  <c r="B25" i="34"/>
  <c r="B26" i="34"/>
  <c r="B27" i="34"/>
  <c r="B28" i="34"/>
  <c r="B29" i="34"/>
  <c r="B30" i="34"/>
  <c r="B31" i="34"/>
  <c r="B32" i="34"/>
  <c r="B36" i="34"/>
  <c r="B37" i="34"/>
  <c r="A37" i="34" s="1"/>
  <c r="B38" i="34"/>
  <c r="B39" i="34"/>
  <c r="C40" i="34"/>
  <c r="B40" i="34" s="1"/>
  <c r="C47" i="34"/>
  <c r="B47" i="34" s="1"/>
  <c r="C48" i="34"/>
  <c r="B48" i="34" s="1"/>
  <c r="C49" i="34"/>
  <c r="B49" i="34" s="1"/>
  <c r="C50" i="34"/>
  <c r="B50" i="34" s="1"/>
  <c r="C51" i="34"/>
  <c r="B51" i="34" s="1"/>
  <c r="C52" i="34"/>
  <c r="B52" i="34" s="1"/>
  <c r="C53" i="34"/>
  <c r="B53" i="34" s="1"/>
  <c r="C54" i="34"/>
  <c r="B54" i="34" s="1"/>
  <c r="C55" i="34"/>
  <c r="B55" i="34" s="1"/>
  <c r="C56" i="34"/>
  <c r="B56" i="34" s="1"/>
  <c r="C57" i="34"/>
  <c r="B57" i="34" s="1"/>
  <c r="C58" i="34"/>
  <c r="B58" i="34" s="1"/>
  <c r="C59" i="34"/>
  <c r="B59" i="34" s="1"/>
  <c r="C60" i="34"/>
  <c r="B60" i="34" s="1"/>
  <c r="C61" i="34"/>
  <c r="B61" i="34" s="1"/>
  <c r="C62" i="34"/>
  <c r="B62" i="34" s="1"/>
  <c r="C63" i="34"/>
  <c r="B63" i="34"/>
  <c r="C64" i="34"/>
  <c r="B64" i="34" s="1"/>
  <c r="C65" i="34"/>
  <c r="B65" i="34"/>
  <c r="C66" i="34"/>
  <c r="B66" i="34" s="1"/>
  <c r="C67" i="34"/>
  <c r="B67" i="34" s="1"/>
  <c r="C68" i="34"/>
  <c r="B68" i="34" s="1"/>
  <c r="C69" i="34"/>
  <c r="B69" i="34" s="1"/>
  <c r="C70" i="34"/>
  <c r="B70" i="34" s="1"/>
  <c r="C71" i="34"/>
  <c r="B71" i="34" s="1"/>
  <c r="C72" i="34"/>
  <c r="B72" i="34"/>
  <c r="C73" i="34"/>
  <c r="B73" i="34" s="1"/>
  <c r="C74" i="34"/>
  <c r="B74" i="34" s="1"/>
  <c r="C75" i="34"/>
  <c r="B75" i="34" s="1"/>
  <c r="C76" i="34"/>
  <c r="B76" i="34" s="1"/>
  <c r="C77" i="34"/>
  <c r="B77" i="34" s="1"/>
  <c r="C78" i="34"/>
  <c r="B78" i="34" s="1"/>
  <c r="C79" i="34"/>
  <c r="B79" i="34"/>
  <c r="C80" i="34"/>
  <c r="B80" i="34" s="1"/>
  <c r="C81" i="34"/>
  <c r="B81" i="34" s="1"/>
  <c r="C82" i="34"/>
  <c r="B82" i="34" s="1"/>
  <c r="C83" i="34"/>
  <c r="B83" i="34" s="1"/>
  <c r="C84" i="34"/>
  <c r="B84" i="34" s="1"/>
  <c r="C85" i="34"/>
  <c r="B85" i="34"/>
  <c r="C86" i="34"/>
  <c r="B86" i="34" s="1"/>
  <c r="C87" i="34"/>
  <c r="B87" i="34"/>
  <c r="C88" i="34"/>
  <c r="B88" i="34"/>
  <c r="C89" i="34"/>
  <c r="B89" i="34"/>
  <c r="C90" i="34"/>
  <c r="B90" i="34" s="1"/>
  <c r="C91" i="34"/>
  <c r="B91" i="34" s="1"/>
  <c r="C92" i="34"/>
  <c r="B92" i="34" s="1"/>
  <c r="C93" i="34"/>
  <c r="B93" i="34" s="1"/>
  <c r="C94" i="34"/>
  <c r="B94" i="34" s="1"/>
  <c r="C95" i="34"/>
  <c r="B95" i="34" s="1"/>
  <c r="C96" i="34"/>
  <c r="B96" i="34"/>
  <c r="C97" i="34"/>
  <c r="B97" i="34"/>
  <c r="C98" i="34"/>
  <c r="B98" i="34" s="1"/>
  <c r="C99" i="34"/>
  <c r="B99" i="34" s="1"/>
  <c r="C100" i="34"/>
  <c r="B100" i="34" s="1"/>
  <c r="C101" i="34"/>
  <c r="B101" i="34" s="1"/>
  <c r="C102" i="34"/>
  <c r="B102" i="34" s="1"/>
  <c r="C103" i="34"/>
  <c r="B103" i="34" s="1"/>
  <c r="C107" i="34"/>
  <c r="B107" i="34"/>
  <c r="C108" i="34"/>
  <c r="B108" i="34" s="1"/>
  <c r="C109" i="34"/>
  <c r="B109" i="34" s="1"/>
  <c r="C110" i="34"/>
  <c r="B110" i="34" s="1"/>
  <c r="C112" i="34"/>
  <c r="B112" i="34"/>
  <c r="C113" i="34"/>
  <c r="B113" i="34" s="1"/>
  <c r="C114" i="34"/>
  <c r="B114" i="34" s="1"/>
  <c r="C115" i="34"/>
  <c r="B115" i="34" s="1"/>
  <c r="C118" i="34"/>
  <c r="B118" i="34" s="1"/>
  <c r="C119" i="34"/>
  <c r="B119" i="34" s="1"/>
  <c r="C120" i="34"/>
  <c r="B120" i="34" s="1"/>
  <c r="C121" i="34"/>
  <c r="B121" i="34" s="1"/>
  <c r="C122" i="34"/>
  <c r="B122" i="34" s="1"/>
  <c r="C123" i="34"/>
  <c r="B123" i="34" s="1"/>
  <c r="C124" i="34"/>
  <c r="B124" i="34"/>
  <c r="C125" i="34"/>
  <c r="B125" i="34"/>
  <c r="C126" i="34"/>
  <c r="B126" i="34" s="1"/>
  <c r="C127" i="34"/>
  <c r="B127" i="34" s="1"/>
  <c r="C128" i="34"/>
  <c r="B128" i="34" s="1"/>
  <c r="C129" i="34"/>
  <c r="B129" i="34" s="1"/>
  <c r="C130" i="34"/>
  <c r="B130" i="34" s="1"/>
  <c r="C131" i="34"/>
  <c r="B131" i="34" s="1"/>
  <c r="C132" i="34"/>
  <c r="B132" i="34"/>
  <c r="C134" i="34"/>
  <c r="B134" i="34" s="1"/>
  <c r="C135" i="34"/>
  <c r="B135" i="34" s="1"/>
  <c r="C136" i="34"/>
  <c r="B136" i="34" s="1"/>
  <c r="C137" i="34"/>
  <c r="B137" i="34" s="1"/>
  <c r="C138" i="34"/>
  <c r="B138" i="34" s="1"/>
  <c r="C139" i="34"/>
  <c r="B139" i="34" s="1"/>
  <c r="C140" i="34"/>
  <c r="B140" i="34" s="1"/>
  <c r="C141" i="34"/>
  <c r="B141" i="34" s="1"/>
  <c r="C142" i="34"/>
  <c r="B142" i="34" s="1"/>
  <c r="C143" i="34"/>
  <c r="B143" i="34" s="1"/>
  <c r="C144" i="34"/>
  <c r="B144" i="34" s="1"/>
  <c r="C145" i="34"/>
  <c r="B145" i="34" s="1"/>
  <c r="C146" i="34"/>
  <c r="B146" i="34" s="1"/>
  <c r="C147" i="34"/>
  <c r="B147" i="34" s="1"/>
  <c r="C148" i="34"/>
  <c r="B148" i="34" s="1"/>
  <c r="C149" i="34"/>
  <c r="B149" i="34" s="1"/>
  <c r="C150" i="34"/>
  <c r="B150" i="34" s="1"/>
  <c r="C151" i="34"/>
  <c r="B151" i="34" s="1"/>
  <c r="C152" i="34"/>
  <c r="B152" i="34" s="1"/>
  <c r="C153" i="34"/>
  <c r="B153" i="34" s="1"/>
  <c r="C154" i="34"/>
  <c r="B154" i="34" s="1"/>
  <c r="C155" i="34"/>
  <c r="B155" i="34"/>
  <c r="C156" i="34"/>
  <c r="B156" i="34" s="1"/>
  <c r="C157" i="34"/>
  <c r="B157" i="34" s="1"/>
  <c r="C158" i="34"/>
  <c r="B158" i="34" s="1"/>
  <c r="C159" i="34"/>
  <c r="B159" i="34" s="1"/>
  <c r="C160" i="34"/>
  <c r="B160" i="34" s="1"/>
  <c r="C161" i="34"/>
  <c r="B161" i="34" s="1"/>
  <c r="C162" i="34"/>
  <c r="B162" i="34"/>
  <c r="C163" i="34"/>
  <c r="B163" i="34" s="1"/>
  <c r="C164" i="34"/>
  <c r="B164" i="34" s="1"/>
  <c r="C165" i="34"/>
  <c r="B165" i="34" s="1"/>
  <c r="C166" i="34"/>
  <c r="B166" i="34" s="1"/>
  <c r="C167" i="34"/>
  <c r="B167" i="34" s="1"/>
  <c r="C168" i="34"/>
  <c r="B168" i="34" s="1"/>
  <c r="C169" i="34"/>
  <c r="B169" i="34" s="1"/>
  <c r="C170" i="34"/>
  <c r="B170" i="34" s="1"/>
  <c r="C171" i="34"/>
  <c r="B171" i="34" s="1"/>
  <c r="C172" i="34"/>
  <c r="B172" i="34" s="1"/>
  <c r="C173" i="34"/>
  <c r="B173" i="34" s="1"/>
  <c r="C174" i="34"/>
  <c r="B174" i="34" s="1"/>
  <c r="C175" i="34"/>
  <c r="B175" i="34" s="1"/>
  <c r="C176" i="34"/>
  <c r="B176" i="34" s="1"/>
  <c r="C177" i="34"/>
  <c r="B177" i="34" s="1"/>
  <c r="C178" i="34"/>
  <c r="B178" i="34" s="1"/>
  <c r="C179" i="34"/>
  <c r="B179" i="34" s="1"/>
  <c r="C180" i="34"/>
  <c r="B180" i="34" s="1"/>
  <c r="C181" i="34"/>
  <c r="B181" i="34" s="1"/>
  <c r="C185" i="34"/>
  <c r="B185" i="34"/>
  <c r="C186" i="34"/>
  <c r="B186" i="34" s="1"/>
  <c r="C187" i="34"/>
  <c r="B187" i="34" s="1"/>
  <c r="C188" i="34"/>
  <c r="B188" i="34" s="1"/>
  <c r="C189" i="34"/>
  <c r="B189" i="34" s="1"/>
  <c r="C190" i="34"/>
  <c r="B190" i="34" s="1"/>
  <c r="C191" i="34"/>
  <c r="B191" i="34" s="1"/>
  <c r="C192" i="34"/>
  <c r="B192" i="34"/>
  <c r="C205" i="34"/>
  <c r="B205" i="34" s="1"/>
  <c r="C206" i="34"/>
  <c r="B206" i="34" s="1"/>
  <c r="C207" i="34"/>
  <c r="B207" i="34" s="1"/>
  <c r="C208" i="34"/>
  <c r="B208" i="34" s="1"/>
  <c r="C209" i="34"/>
  <c r="B209" i="34" s="1"/>
  <c r="C210" i="34"/>
  <c r="B210" i="34" s="1"/>
  <c r="C211" i="34"/>
  <c r="B211" i="34" s="1"/>
  <c r="C212" i="34"/>
  <c r="B212" i="34" s="1"/>
  <c r="C213" i="34"/>
  <c r="B213" i="34"/>
  <c r="C214" i="34"/>
  <c r="B214" i="34" s="1"/>
  <c r="C215" i="34"/>
  <c r="B215" i="34" s="1"/>
  <c r="C216" i="34"/>
  <c r="B216" i="34" s="1"/>
  <c r="C225" i="34"/>
  <c r="B225" i="34" s="1"/>
  <c r="C226" i="34"/>
  <c r="B226" i="34" s="1"/>
  <c r="C227" i="34"/>
  <c r="B227" i="34" s="1"/>
  <c r="C228" i="34"/>
  <c r="B228" i="34" s="1"/>
  <c r="C230" i="34"/>
  <c r="B230" i="34" s="1"/>
  <c r="C231" i="34"/>
  <c r="B231" i="34" s="1"/>
  <c r="C232" i="34"/>
  <c r="B232" i="34" s="1"/>
  <c r="C233" i="34"/>
  <c r="B233" i="34" s="1"/>
  <c r="C234" i="34"/>
  <c r="B234" i="34" s="1"/>
  <c r="C235" i="34"/>
  <c r="B235" i="34" s="1"/>
  <c r="C236" i="34"/>
  <c r="B236" i="34" s="1"/>
  <c r="C237" i="34"/>
  <c r="B237" i="34" s="1"/>
  <c r="C238" i="34"/>
  <c r="B238" i="34" s="1"/>
  <c r="C239" i="34"/>
  <c r="B239" i="34" s="1"/>
  <c r="C240" i="34"/>
  <c r="B240" i="34" s="1"/>
  <c r="C241" i="34"/>
  <c r="B241" i="34" s="1"/>
  <c r="C242" i="34"/>
  <c r="B242" i="34" s="1"/>
  <c r="C243" i="34"/>
  <c r="B243" i="34"/>
  <c r="C244" i="34"/>
  <c r="B244" i="34" s="1"/>
  <c r="C245" i="34"/>
  <c r="B245" i="34" s="1"/>
  <c r="C246" i="34"/>
  <c r="B246" i="34" s="1"/>
  <c r="C247" i="34"/>
  <c r="B247" i="34" s="1"/>
  <c r="C248" i="34"/>
  <c r="B248" i="34" s="1"/>
  <c r="C249" i="34"/>
  <c r="B249" i="34" s="1"/>
  <c r="C250" i="34"/>
  <c r="B250" i="34"/>
  <c r="C251" i="34"/>
  <c r="B251" i="34" s="1"/>
  <c r="C252" i="34"/>
  <c r="B252" i="34" s="1"/>
  <c r="C253" i="34"/>
  <c r="B253" i="34" s="1"/>
  <c r="C254" i="34"/>
  <c r="B254" i="34" s="1"/>
  <c r="C255" i="34"/>
  <c r="B255" i="34" s="1"/>
  <c r="C257" i="34"/>
  <c r="B257" i="34" s="1"/>
  <c r="C258" i="34"/>
  <c r="B258" i="34" s="1"/>
  <c r="C259" i="34"/>
  <c r="B259" i="34" s="1"/>
  <c r="C260" i="34"/>
  <c r="B260" i="34"/>
  <c r="C261" i="34"/>
  <c r="B261" i="34"/>
  <c r="A261" i="34" s="1"/>
  <c r="C262" i="34"/>
  <c r="B262" i="34" s="1"/>
  <c r="C263" i="34"/>
  <c r="B263" i="34" s="1"/>
  <c r="C264" i="34"/>
  <c r="B264" i="34" s="1"/>
  <c r="C265" i="34"/>
  <c r="B265" i="34" s="1"/>
  <c r="A265" i="34" s="1"/>
  <c r="C270" i="34"/>
  <c r="B270" i="34" s="1"/>
  <c r="C271" i="34"/>
  <c r="B271" i="34" s="1"/>
  <c r="C272" i="34"/>
  <c r="B272" i="34" s="1"/>
  <c r="C273" i="34"/>
  <c r="B273" i="34" s="1"/>
  <c r="C274" i="34"/>
  <c r="B274" i="34" s="1"/>
  <c r="C275" i="34"/>
  <c r="B275" i="34" s="1"/>
  <c r="C276" i="34"/>
  <c r="B276" i="34" s="1"/>
  <c r="C277" i="34"/>
  <c r="B277" i="34" s="1"/>
  <c r="C278" i="34"/>
  <c r="B278" i="34" s="1"/>
  <c r="C279" i="34"/>
  <c r="B279" i="34" s="1"/>
  <c r="C280" i="34"/>
  <c r="B280" i="34" s="1"/>
  <c r="C281" i="34"/>
  <c r="B281" i="34" s="1"/>
  <c r="C282" i="34"/>
  <c r="B282" i="34" s="1"/>
  <c r="C283" i="34"/>
  <c r="B283" i="34" s="1"/>
  <c r="C284" i="34"/>
  <c r="B284" i="34" s="1"/>
  <c r="C285" i="34"/>
  <c r="B285" i="34" s="1"/>
  <c r="C286" i="34"/>
  <c r="B286" i="34" s="1"/>
  <c r="C287" i="34"/>
  <c r="B287" i="34" s="1"/>
  <c r="C288" i="34"/>
  <c r="B288" i="34" s="1"/>
  <c r="C289" i="34"/>
  <c r="B289" i="34" s="1"/>
  <c r="C290" i="34"/>
  <c r="B290" i="34" s="1"/>
  <c r="C291" i="34"/>
  <c r="B291" i="34" s="1"/>
  <c r="C292" i="34"/>
  <c r="B292" i="34" s="1"/>
  <c r="C293" i="34"/>
  <c r="B293" i="34" s="1"/>
  <c r="C294" i="34"/>
  <c r="B294" i="34" s="1"/>
  <c r="C295" i="34"/>
  <c r="B295" i="34" s="1"/>
  <c r="C296" i="34"/>
  <c r="B296" i="34" s="1"/>
  <c r="C297" i="34"/>
  <c r="B297" i="34" s="1"/>
  <c r="C298" i="34"/>
  <c r="B298" i="34" s="1"/>
  <c r="C299" i="34"/>
  <c r="B299" i="34" s="1"/>
  <c r="C300" i="34"/>
  <c r="B300" i="34"/>
  <c r="C301" i="34"/>
  <c r="B301" i="34" s="1"/>
  <c r="C302" i="34"/>
  <c r="B302" i="34" s="1"/>
  <c r="C303" i="34"/>
  <c r="B303" i="34" s="1"/>
  <c r="C304" i="34"/>
  <c r="B304" i="34" s="1"/>
  <c r="C305" i="34"/>
  <c r="B305" i="34" s="1"/>
  <c r="C306" i="34"/>
  <c r="B306" i="34" s="1"/>
  <c r="C307" i="34"/>
  <c r="B307" i="34"/>
  <c r="C308" i="34"/>
  <c r="B308" i="34" s="1"/>
  <c r="C309" i="34"/>
  <c r="B309" i="34" s="1"/>
  <c r="C310" i="34"/>
  <c r="B310" i="34" s="1"/>
  <c r="C311" i="34"/>
  <c r="B311" i="34" s="1"/>
  <c r="C317" i="34"/>
  <c r="B317" i="34"/>
  <c r="C318" i="34"/>
  <c r="B318" i="34"/>
  <c r="C319" i="34"/>
  <c r="B319" i="34" s="1"/>
  <c r="C320" i="34"/>
  <c r="B320" i="34" s="1"/>
  <c r="C321" i="34"/>
  <c r="B321" i="34" s="1"/>
  <c r="C328" i="34"/>
  <c r="B328" i="34" s="1"/>
  <c r="C329" i="34"/>
  <c r="B329" i="34" s="1"/>
  <c r="A329" i="34" s="1"/>
  <c r="C330" i="34"/>
  <c r="B330" i="34" s="1"/>
  <c r="C331" i="34"/>
  <c r="B331" i="34" s="1"/>
  <c r="C333" i="34"/>
  <c r="B333" i="34" s="1"/>
  <c r="C334" i="34"/>
  <c r="B334" i="34" s="1"/>
  <c r="C335" i="34"/>
  <c r="B335" i="34" s="1"/>
  <c r="C336" i="34"/>
  <c r="B336" i="34" s="1"/>
  <c r="C339" i="34"/>
  <c r="B339" i="34"/>
  <c r="C340" i="34"/>
  <c r="B340" i="34" s="1"/>
  <c r="C341" i="34"/>
  <c r="B341" i="34" s="1"/>
  <c r="C342" i="34"/>
  <c r="B342" i="34" s="1"/>
  <c r="C343" i="34"/>
  <c r="B343" i="34" s="1"/>
  <c r="C344" i="34"/>
  <c r="B344" i="34" s="1"/>
  <c r="C345" i="34"/>
  <c r="B345" i="34" s="1"/>
  <c r="C346" i="34"/>
  <c r="B346" i="34" s="1"/>
  <c r="C354" i="34"/>
  <c r="B354" i="34" s="1"/>
  <c r="C355" i="34"/>
  <c r="B355" i="34" s="1"/>
  <c r="C356" i="34"/>
  <c r="B356" i="34" s="1"/>
  <c r="C364" i="34"/>
  <c r="B364" i="34" s="1"/>
  <c r="C365" i="34"/>
  <c r="B365" i="34" s="1"/>
  <c r="C366" i="34"/>
  <c r="B366" i="34" s="1"/>
  <c r="C367" i="34"/>
  <c r="B367" i="34"/>
  <c r="C373" i="34"/>
  <c r="B373" i="34" s="1"/>
  <c r="C374" i="34"/>
  <c r="B374" i="34" s="1"/>
  <c r="C375" i="34"/>
  <c r="B375" i="34" s="1"/>
  <c r="C376" i="34"/>
  <c r="B376" i="34" s="1"/>
  <c r="C377" i="34"/>
  <c r="B377" i="34" s="1"/>
  <c r="C378" i="34"/>
  <c r="B378" i="34"/>
  <c r="C379" i="34"/>
  <c r="B379" i="34" s="1"/>
  <c r="C380" i="34"/>
  <c r="B380" i="34" s="1"/>
  <c r="C381" i="34"/>
  <c r="B381" i="34" s="1"/>
  <c r="C382" i="34"/>
  <c r="B382" i="34" s="1"/>
  <c r="C383" i="34"/>
  <c r="B383" i="34" s="1"/>
  <c r="C384" i="34"/>
  <c r="B384" i="34" s="1"/>
  <c r="C385" i="34"/>
  <c r="B385" i="34"/>
  <c r="C386" i="34"/>
  <c r="B386" i="34" s="1"/>
  <c r="C387" i="34"/>
  <c r="B387" i="34" s="1"/>
  <c r="C388" i="34"/>
  <c r="B388" i="34" s="1"/>
  <c r="C389" i="34"/>
  <c r="B389" i="34" s="1"/>
  <c r="C390" i="34"/>
  <c r="B390" i="34" s="1"/>
  <c r="C391" i="34"/>
  <c r="B391" i="34" s="1"/>
  <c r="C392" i="34"/>
  <c r="B392" i="34" s="1"/>
  <c r="C393" i="34"/>
  <c r="B393" i="34" s="1"/>
  <c r="C394" i="34"/>
  <c r="B394" i="34"/>
  <c r="B395" i="34"/>
  <c r="B396" i="34"/>
  <c r="B397" i="34"/>
  <c r="B398" i="34"/>
  <c r="B399" i="34"/>
  <c r="B400" i="34"/>
  <c r="C402" i="34"/>
  <c r="B402" i="34" s="1"/>
  <c r="B403" i="34"/>
  <c r="B404" i="34"/>
  <c r="C405" i="34"/>
  <c r="B405" i="34" s="1"/>
  <c r="C406" i="34"/>
  <c r="B406" i="34" s="1"/>
  <c r="C408" i="34"/>
  <c r="B408" i="34" s="1"/>
  <c r="C409" i="34"/>
  <c r="B409" i="34" s="1"/>
  <c r="C414" i="34"/>
  <c r="B414" i="34" s="1"/>
  <c r="C415" i="34"/>
  <c r="B415" i="34" s="1"/>
  <c r="C416" i="34"/>
  <c r="B416" i="34" s="1"/>
  <c r="C417" i="34"/>
  <c r="B417" i="34" s="1"/>
  <c r="C418" i="34"/>
  <c r="B418" i="34" s="1"/>
  <c r="C419" i="34"/>
  <c r="B419" i="34" s="1"/>
  <c r="C420" i="34"/>
  <c r="B420" i="34" s="1"/>
  <c r="C421" i="34"/>
  <c r="B421" i="34" s="1"/>
  <c r="C422" i="34"/>
  <c r="B422" i="34" s="1"/>
  <c r="C423" i="34"/>
  <c r="B423" i="34" s="1"/>
  <c r="C424" i="34"/>
  <c r="B424" i="34" s="1"/>
  <c r="C425" i="34"/>
  <c r="B425" i="34" s="1"/>
  <c r="C426" i="34"/>
  <c r="B426" i="34" s="1"/>
  <c r="C427" i="34"/>
  <c r="B427" i="34" s="1"/>
  <c r="C428" i="34"/>
  <c r="B428" i="34" s="1"/>
  <c r="C429" i="34"/>
  <c r="B429" i="34" s="1"/>
  <c r="C430" i="34"/>
  <c r="B430" i="34" s="1"/>
  <c r="C431" i="34"/>
  <c r="B431" i="34" s="1"/>
  <c r="C432" i="34"/>
  <c r="B432" i="34" s="1"/>
  <c r="C434" i="34"/>
  <c r="B434" i="34" s="1"/>
  <c r="C435" i="34"/>
  <c r="B435" i="34" s="1"/>
  <c r="C436" i="34"/>
  <c r="B436" i="34" s="1"/>
  <c r="C437" i="34"/>
  <c r="B437" i="34" s="1"/>
  <c r="C438" i="34"/>
  <c r="B438" i="34" s="1"/>
  <c r="C440" i="34"/>
  <c r="B440" i="34" s="1"/>
  <c r="C441" i="34"/>
  <c r="B441" i="34" s="1"/>
  <c r="C442" i="34"/>
  <c r="B442" i="34" s="1"/>
  <c r="C443" i="34"/>
  <c r="B443" i="34" s="1"/>
  <c r="C444" i="34"/>
  <c r="B444" i="34" s="1"/>
  <c r="C445" i="34"/>
  <c r="B445" i="34" s="1"/>
  <c r="C446" i="34"/>
  <c r="B446" i="34"/>
  <c r="C447" i="34"/>
  <c r="B447" i="34" s="1"/>
  <c r="C448" i="34"/>
  <c r="B448" i="34" s="1"/>
  <c r="C449" i="34"/>
  <c r="B449" i="34" s="1"/>
  <c r="C450" i="34"/>
  <c r="B450" i="34" s="1"/>
  <c r="C453" i="34"/>
  <c r="B453" i="34" s="1"/>
  <c r="C454" i="34"/>
  <c r="B454" i="34" s="1"/>
  <c r="C455" i="34"/>
  <c r="B455" i="34" s="1"/>
  <c r="C456" i="34"/>
  <c r="B456" i="34" s="1"/>
  <c r="C457" i="34"/>
  <c r="B457" i="34" s="1"/>
  <c r="C458" i="34"/>
  <c r="B458" i="34" s="1"/>
  <c r="C460" i="34"/>
  <c r="B460" i="34" s="1"/>
  <c r="C461" i="34"/>
  <c r="B461" i="34" s="1"/>
  <c r="C462" i="34"/>
  <c r="B462" i="34" s="1"/>
  <c r="C463" i="34"/>
  <c r="B463" i="34" s="1"/>
  <c r="C464" i="34"/>
  <c r="B464" i="34"/>
  <c r="C470" i="34"/>
  <c r="B470" i="34" s="1"/>
  <c r="C471" i="34"/>
  <c r="B471" i="34" s="1"/>
  <c r="C472" i="34"/>
  <c r="B472" i="34" s="1"/>
  <c r="C473" i="34"/>
  <c r="B473" i="34"/>
  <c r="A473" i="34" s="1"/>
  <c r="C474" i="34"/>
  <c r="B474" i="34" s="1"/>
  <c r="C475" i="34"/>
  <c r="B475" i="34" s="1"/>
  <c r="C476" i="34"/>
  <c r="B476" i="34"/>
  <c r="C477" i="34"/>
  <c r="B477" i="34" s="1"/>
  <c r="C478" i="34"/>
  <c r="B478" i="34" s="1"/>
  <c r="C479" i="34"/>
  <c r="B479" i="34" s="1"/>
  <c r="C480" i="34"/>
  <c r="B480" i="34" s="1"/>
  <c r="C481" i="34"/>
  <c r="B481" i="34"/>
  <c r="C482" i="34"/>
  <c r="B482" i="34"/>
  <c r="C483" i="34"/>
  <c r="B483" i="34" s="1"/>
  <c r="C484" i="34"/>
  <c r="B484" i="34" s="1"/>
  <c r="C485" i="34"/>
  <c r="B485" i="34" s="1"/>
  <c r="C486" i="34"/>
  <c r="B486" i="34" s="1"/>
  <c r="C487" i="34"/>
  <c r="B487" i="34" s="1"/>
  <c r="C488" i="34"/>
  <c r="B488" i="34" s="1"/>
  <c r="C489" i="34"/>
  <c r="B489" i="34" s="1"/>
  <c r="C490" i="34"/>
  <c r="B490" i="34"/>
  <c r="C491" i="34"/>
  <c r="B491" i="34" s="1"/>
  <c r="C492" i="34"/>
  <c r="B492" i="34" s="1"/>
  <c r="C493" i="34"/>
  <c r="B493" i="34" s="1"/>
  <c r="C494" i="34"/>
  <c r="B494" i="34" s="1"/>
  <c r="C495" i="34"/>
  <c r="B495" i="34" s="1"/>
  <c r="C496" i="34"/>
  <c r="B496" i="34" s="1"/>
  <c r="C497" i="34"/>
  <c r="B497" i="34" s="1"/>
  <c r="A497" i="34" s="1"/>
  <c r="C498" i="34"/>
  <c r="B498" i="34" s="1"/>
  <c r="C500" i="34"/>
  <c r="B500" i="34" s="1"/>
  <c r="C501" i="34"/>
  <c r="B501" i="34" s="1"/>
  <c r="C502" i="34"/>
  <c r="B502" i="34" s="1"/>
  <c r="C503" i="34"/>
  <c r="B503" i="34" s="1"/>
  <c r="C508" i="34"/>
  <c r="B508" i="34"/>
  <c r="C509" i="34"/>
  <c r="B509" i="34" s="1"/>
  <c r="C510" i="34"/>
  <c r="B510" i="34" s="1"/>
  <c r="C511" i="34"/>
  <c r="B511" i="34" s="1"/>
  <c r="C512" i="34"/>
  <c r="B512" i="34" s="1"/>
  <c r="C513" i="34"/>
  <c r="B513" i="34" s="1"/>
  <c r="C514" i="34"/>
  <c r="B514" i="34" s="1"/>
  <c r="C515" i="34"/>
  <c r="B515" i="34" s="1"/>
  <c r="C516" i="34"/>
  <c r="B516" i="34"/>
  <c r="C517" i="34"/>
  <c r="B517" i="34" s="1"/>
  <c r="C518" i="34"/>
  <c r="B518" i="34" s="1"/>
  <c r="C519" i="34"/>
  <c r="B519" i="34" s="1"/>
  <c r="C520" i="34"/>
  <c r="B520" i="34" s="1"/>
  <c r="C521" i="34"/>
  <c r="B521" i="34" s="1"/>
  <c r="C522" i="34"/>
  <c r="B522" i="34" s="1"/>
  <c r="C523" i="34"/>
  <c r="B523" i="34" s="1"/>
  <c r="C524" i="34"/>
  <c r="B524" i="34" s="1"/>
  <c r="C525" i="34"/>
  <c r="B525" i="34" s="1"/>
  <c r="C526" i="34"/>
  <c r="B526" i="34" s="1"/>
  <c r="C527" i="34"/>
  <c r="B527" i="34" s="1"/>
  <c r="C528" i="34"/>
  <c r="B528" i="34" s="1"/>
  <c r="C529" i="34"/>
  <c r="B529" i="34" s="1"/>
  <c r="C530" i="34"/>
  <c r="B530" i="34" s="1"/>
  <c r="C532" i="34"/>
  <c r="B532" i="34" s="1"/>
  <c r="C533" i="34"/>
  <c r="B533" i="34"/>
  <c r="C534" i="34"/>
  <c r="B534" i="34" s="1"/>
  <c r="C539" i="34"/>
  <c r="B539" i="34" s="1"/>
  <c r="C540" i="34"/>
  <c r="B540" i="34" s="1"/>
  <c r="C541" i="34"/>
  <c r="B541" i="34" s="1"/>
  <c r="C542" i="34"/>
  <c r="B542" i="34" s="1"/>
  <c r="C543" i="34"/>
  <c r="B543" i="34" s="1"/>
  <c r="C550" i="34"/>
  <c r="B550" i="34" s="1"/>
  <c r="C551" i="34"/>
  <c r="B551" i="34" s="1"/>
  <c r="C559" i="34"/>
  <c r="B559" i="34" s="1"/>
  <c r="C560" i="34"/>
  <c r="B560" i="34" s="1"/>
  <c r="C561" i="34"/>
  <c r="B561" i="34" s="1"/>
  <c r="C562" i="34"/>
  <c r="B562" i="34" s="1"/>
  <c r="C563" i="34"/>
  <c r="B563" i="34" s="1"/>
  <c r="C564" i="34"/>
  <c r="B564" i="34" s="1"/>
  <c r="C565" i="34"/>
  <c r="B565" i="34" s="1"/>
  <c r="C566" i="34"/>
  <c r="B566" i="34" s="1"/>
  <c r="C567" i="34"/>
  <c r="B567" i="34"/>
  <c r="C568" i="34"/>
  <c r="B568" i="34" s="1"/>
  <c r="C569" i="34"/>
  <c r="B569" i="34" s="1"/>
  <c r="C570" i="34"/>
  <c r="B570" i="34" s="1"/>
  <c r="C571" i="34"/>
  <c r="B571" i="34" s="1"/>
  <c r="C572" i="34"/>
  <c r="B572" i="34" s="1"/>
  <c r="C573" i="34"/>
  <c r="B573" i="34" s="1"/>
  <c r="C574" i="34"/>
  <c r="B574" i="34" s="1"/>
  <c r="C575" i="34"/>
  <c r="B575" i="34"/>
  <c r="C576" i="34"/>
  <c r="B576" i="34" s="1"/>
  <c r="C578" i="34"/>
  <c r="B578" i="34" s="1"/>
  <c r="C579" i="34"/>
  <c r="B579" i="34" s="1"/>
  <c r="C580" i="34"/>
  <c r="B580" i="34" s="1"/>
  <c r="C581" i="34"/>
  <c r="B581" i="34" s="1"/>
  <c r="C582" i="34"/>
  <c r="B582" i="34" s="1"/>
  <c r="C583" i="34"/>
  <c r="B583" i="34" s="1"/>
  <c r="C584" i="34"/>
  <c r="B584" i="34" s="1"/>
  <c r="C585" i="34"/>
  <c r="B585" i="34"/>
  <c r="C598" i="34"/>
  <c r="B598" i="34" s="1"/>
  <c r="C599" i="34"/>
  <c r="B599" i="34" s="1"/>
  <c r="C600" i="34"/>
  <c r="B600" i="34" s="1"/>
  <c r="C601" i="34"/>
  <c r="B601" i="34" s="1"/>
  <c r="A601" i="34" s="1"/>
  <c r="C602" i="34"/>
  <c r="B602" i="34" s="1"/>
  <c r="C603" i="34"/>
  <c r="B603" i="34" s="1"/>
  <c r="C604" i="34"/>
  <c r="B604" i="34" s="1"/>
  <c r="C605" i="34"/>
  <c r="B605" i="34" s="1"/>
  <c r="C606" i="34"/>
  <c r="B606" i="34" s="1"/>
  <c r="C607" i="34"/>
  <c r="B607" i="34" s="1"/>
  <c r="C608" i="34"/>
  <c r="B608" i="34" s="1"/>
  <c r="C609" i="34"/>
  <c r="B609" i="34" s="1"/>
  <c r="C610" i="34"/>
  <c r="B610" i="34" s="1"/>
  <c r="C611" i="34"/>
  <c r="B611" i="34" s="1"/>
  <c r="C612" i="34"/>
  <c r="B612" i="34" s="1"/>
  <c r="C613" i="34"/>
  <c r="B613" i="34" s="1"/>
  <c r="C614" i="34"/>
  <c r="B614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0" i="34"/>
  <c r="B620" i="34" s="1"/>
  <c r="C621" i="34"/>
  <c r="B621" i="34" s="1"/>
  <c r="C622" i="34"/>
  <c r="B622" i="34" s="1"/>
  <c r="C623" i="34"/>
  <c r="B623" i="34" s="1"/>
  <c r="C624" i="34"/>
  <c r="B624" i="34" s="1"/>
  <c r="C625" i="34"/>
  <c r="B625" i="34" s="1"/>
  <c r="C626" i="34"/>
  <c r="B626" i="34" s="1"/>
  <c r="C627" i="34"/>
  <c r="B627" i="34" s="1"/>
  <c r="C628" i="34"/>
  <c r="B628" i="34" s="1"/>
  <c r="C629" i="34"/>
  <c r="B629" i="34"/>
  <c r="C630" i="34"/>
  <c r="B630" i="34" s="1"/>
  <c r="C631" i="34"/>
  <c r="B631" i="34" s="1"/>
  <c r="C632" i="34"/>
  <c r="B632" i="34" s="1"/>
  <c r="C633" i="34"/>
  <c r="B633" i="34" s="1"/>
  <c r="C634" i="34"/>
  <c r="B634" i="34" s="1"/>
  <c r="C635" i="34"/>
  <c r="B635" i="34" s="1"/>
  <c r="C637" i="34"/>
  <c r="B637" i="34" s="1"/>
  <c r="C638" i="34"/>
  <c r="B638" i="34" s="1"/>
  <c r="C639" i="34"/>
  <c r="B639" i="34" s="1"/>
  <c r="C640" i="34"/>
  <c r="B640" i="34" s="1"/>
  <c r="C641" i="34"/>
  <c r="B641" i="34" s="1"/>
  <c r="C642" i="34"/>
  <c r="B642" i="34" s="1"/>
  <c r="C643" i="34"/>
  <c r="B643" i="34" s="1"/>
  <c r="C644" i="34"/>
  <c r="B644" i="34" s="1"/>
  <c r="C645" i="34"/>
  <c r="B645" i="34" s="1"/>
  <c r="C646" i="34"/>
  <c r="B646" i="34" s="1"/>
  <c r="C647" i="34"/>
  <c r="B647" i="34"/>
  <c r="C648" i="34"/>
  <c r="B648" i="34" s="1"/>
  <c r="C649" i="34"/>
  <c r="B649" i="34" s="1"/>
  <c r="C650" i="34"/>
  <c r="B650" i="34" s="1"/>
  <c r="C651" i="34"/>
  <c r="B651" i="34" s="1"/>
  <c r="C652" i="34"/>
  <c r="B652" i="34" s="1"/>
  <c r="C653" i="34"/>
  <c r="B653" i="34" s="1"/>
  <c r="O655" i="34"/>
  <c r="C658" i="34"/>
  <c r="B658" i="34" s="1"/>
  <c r="C659" i="34"/>
  <c r="B659" i="34"/>
  <c r="C660" i="34"/>
  <c r="B660" i="34" s="1"/>
  <c r="C661" i="34"/>
  <c r="B661" i="34" s="1"/>
  <c r="C662" i="34"/>
  <c r="B662" i="34" s="1"/>
  <c r="C663" i="34"/>
  <c r="B663" i="34" s="1"/>
  <c r="C666" i="34"/>
  <c r="B666" i="34" s="1"/>
  <c r="C667" i="34"/>
  <c r="B667" i="34"/>
  <c r="C668" i="34"/>
  <c r="B668" i="34" s="1"/>
  <c r="C669" i="34"/>
  <c r="B669" i="34" s="1"/>
  <c r="C675" i="34"/>
  <c r="B675" i="34" s="1"/>
  <c r="C676" i="34"/>
  <c r="B676" i="34" s="1"/>
  <c r="C677" i="34"/>
  <c r="B677" i="34" s="1"/>
  <c r="C678" i="34"/>
  <c r="B678" i="34" s="1"/>
  <c r="C679" i="34"/>
  <c r="B679" i="34" s="1"/>
  <c r="C680" i="34"/>
  <c r="B680" i="34" s="1"/>
  <c r="C681" i="34"/>
  <c r="B681" i="34" s="1"/>
  <c r="C682" i="34"/>
  <c r="B682" i="34" s="1"/>
  <c r="C683" i="34"/>
  <c r="B683" i="34" s="1"/>
  <c r="C684" i="34"/>
  <c r="B684" i="34" s="1"/>
  <c r="C685" i="34"/>
  <c r="B685" i="34" s="1"/>
  <c r="C686" i="34"/>
  <c r="B686" i="34" s="1"/>
  <c r="C687" i="34"/>
  <c r="B687" i="34" s="1"/>
  <c r="C688" i="34"/>
  <c r="B688" i="34" s="1"/>
  <c r="C689" i="34"/>
  <c r="B689" i="34"/>
  <c r="C690" i="34"/>
  <c r="B690" i="34" s="1"/>
  <c r="C691" i="34"/>
  <c r="B691" i="34" s="1"/>
  <c r="C692" i="34"/>
  <c r="B692" i="34" s="1"/>
  <c r="C693" i="34"/>
  <c r="B693" i="34" s="1"/>
  <c r="C694" i="34"/>
  <c r="B694" i="34" s="1"/>
  <c r="C695" i="34"/>
  <c r="B695" i="34" s="1"/>
  <c r="C696" i="34"/>
  <c r="B696" i="34" s="1"/>
  <c r="C697" i="34"/>
  <c r="B697" i="34" s="1"/>
  <c r="C698" i="34"/>
  <c r="B698" i="34" s="1"/>
  <c r="C699" i="34"/>
  <c r="B699" i="34" s="1"/>
  <c r="C700" i="34"/>
  <c r="B700" i="34" s="1"/>
  <c r="C701" i="34"/>
  <c r="B701" i="34" s="1"/>
  <c r="A701" i="34" s="1"/>
  <c r="C702" i="34"/>
  <c r="B702" i="34" s="1"/>
  <c r="C703" i="34"/>
  <c r="B703" i="34" s="1"/>
  <c r="C704" i="34"/>
  <c r="B704" i="34" s="1"/>
  <c r="C705" i="34"/>
  <c r="B705" i="34" s="1"/>
  <c r="A705" i="34" s="1"/>
  <c r="C710" i="34"/>
  <c r="B710" i="34" s="1"/>
  <c r="C711" i="34"/>
  <c r="B711" i="34" s="1"/>
  <c r="C712" i="34"/>
  <c r="B712" i="34" s="1"/>
  <c r="C719" i="34"/>
  <c r="B719" i="34" s="1"/>
  <c r="C720" i="34"/>
  <c r="B720" i="34" s="1"/>
  <c r="C721" i="34"/>
  <c r="B721" i="34" s="1"/>
  <c r="A721" i="34" s="1"/>
  <c r="C722" i="34"/>
  <c r="B722" i="34" s="1"/>
  <c r="C723" i="34"/>
  <c r="B723" i="34" s="1"/>
  <c r="C724" i="34"/>
  <c r="B724" i="34" s="1"/>
  <c r="C725" i="34"/>
  <c r="B725" i="34"/>
  <c r="C726" i="34"/>
  <c r="B726" i="34" s="1"/>
  <c r="C727" i="34"/>
  <c r="B727" i="34" s="1"/>
  <c r="C728" i="34"/>
  <c r="B728" i="34" s="1"/>
  <c r="C729" i="34"/>
  <c r="B729" i="34" s="1"/>
  <c r="C730" i="34"/>
  <c r="B730" i="34" s="1"/>
  <c r="C731" i="34"/>
  <c r="B731" i="34" s="1"/>
  <c r="C732" i="34"/>
  <c r="B732" i="34" s="1"/>
  <c r="C733" i="34"/>
  <c r="B733" i="34"/>
  <c r="A733" i="34" s="1"/>
  <c r="C736" i="34"/>
  <c r="B736" i="34" s="1"/>
  <c r="C737" i="34"/>
  <c r="B737" i="34" s="1"/>
  <c r="C738" i="34"/>
  <c r="B738" i="34" s="1"/>
  <c r="C739" i="34"/>
  <c r="B739" i="34" s="1"/>
  <c r="C740" i="34"/>
  <c r="B740" i="34" s="1"/>
  <c r="C741" i="34"/>
  <c r="B741" i="34"/>
  <c r="A741" i="34" s="1"/>
  <c r="C742" i="34"/>
  <c r="B742" i="34" s="1"/>
  <c r="C743" i="34"/>
  <c r="B743" i="34" s="1"/>
  <c r="C744" i="34"/>
  <c r="B744" i="34" s="1"/>
  <c r="C745" i="34"/>
  <c r="B745" i="34" s="1"/>
  <c r="A745" i="34" s="1"/>
  <c r="C746" i="34"/>
  <c r="B746" i="34" s="1"/>
  <c r="C747" i="34"/>
  <c r="B747" i="34" s="1"/>
  <c r="C748" i="34"/>
  <c r="B748" i="34" s="1"/>
  <c r="C749" i="34"/>
  <c r="B749" i="34" s="1"/>
  <c r="A749" i="34" s="1"/>
  <c r="C750" i="34"/>
  <c r="B750" i="34" s="1"/>
  <c r="C751" i="34"/>
  <c r="B751" i="34" s="1"/>
  <c r="C752" i="34"/>
  <c r="B752" i="34" s="1"/>
  <c r="C753" i="34"/>
  <c r="B753" i="34" s="1"/>
  <c r="C754" i="34"/>
  <c r="B754" i="34" s="1"/>
  <c r="C755" i="34"/>
  <c r="B755" i="34" s="1"/>
  <c r="C756" i="34"/>
  <c r="B756" i="34" s="1"/>
  <c r="C757" i="34"/>
  <c r="B757" i="34"/>
  <c r="C758" i="34"/>
  <c r="B758" i="34" s="1"/>
  <c r="C759" i="34"/>
  <c r="B759" i="34" s="1"/>
  <c r="C760" i="34"/>
  <c r="B760" i="34" s="1"/>
  <c r="C761" i="34"/>
  <c r="B761" i="34" s="1"/>
  <c r="C762" i="34"/>
  <c r="B762" i="34" s="1"/>
  <c r="C763" i="34"/>
  <c r="B763" i="34" s="1"/>
  <c r="C764" i="34"/>
  <c r="B764" i="34" s="1"/>
  <c r="C765" i="34"/>
  <c r="B765" i="34"/>
  <c r="C766" i="34"/>
  <c r="B766" i="34" s="1"/>
  <c r="C767" i="34"/>
  <c r="B767" i="34" s="1"/>
  <c r="C768" i="34"/>
  <c r="B768" i="34" s="1"/>
  <c r="C769" i="34"/>
  <c r="B769" i="34" s="1"/>
  <c r="C770" i="34"/>
  <c r="B770" i="34" s="1"/>
  <c r="C771" i="34"/>
  <c r="B771" i="34" s="1"/>
  <c r="C772" i="34"/>
  <c r="B772" i="34" s="1"/>
  <c r="C773" i="34"/>
  <c r="B773" i="34" s="1"/>
  <c r="C774" i="34"/>
  <c r="B774" i="34" s="1"/>
  <c r="C775" i="34"/>
  <c r="B775" i="34" s="1"/>
  <c r="C776" i="34"/>
  <c r="B776" i="34" s="1"/>
  <c r="C777" i="34"/>
  <c r="B777" i="34" s="1"/>
  <c r="C778" i="34"/>
  <c r="B778" i="34" s="1"/>
  <c r="C779" i="34"/>
  <c r="B779" i="34" s="1"/>
  <c r="C780" i="34"/>
  <c r="B780" i="34" s="1"/>
  <c r="C781" i="34"/>
  <c r="B781" i="34" s="1"/>
  <c r="C783" i="34"/>
  <c r="B783" i="34" s="1"/>
  <c r="C784" i="34"/>
  <c r="B784" i="34" s="1"/>
  <c r="C785" i="34"/>
  <c r="B785" i="34" s="1"/>
  <c r="C786" i="34"/>
  <c r="B786" i="34" s="1"/>
  <c r="C787" i="34"/>
  <c r="B787" i="34" s="1"/>
  <c r="C788" i="34"/>
  <c r="B788" i="34" s="1"/>
  <c r="C790" i="34"/>
  <c r="B790" i="34" s="1"/>
  <c r="C791" i="34"/>
  <c r="B791" i="34" s="1"/>
  <c r="C792" i="34"/>
  <c r="B792" i="34" s="1"/>
  <c r="C793" i="34"/>
  <c r="B793" i="34" s="1"/>
  <c r="C794" i="34"/>
  <c r="B794" i="34" s="1"/>
  <c r="C795" i="34"/>
  <c r="B795" i="34" s="1"/>
  <c r="C796" i="34"/>
  <c r="B796" i="34" s="1"/>
  <c r="C797" i="34"/>
  <c r="B797" i="34"/>
  <c r="C798" i="34"/>
  <c r="B798" i="34" s="1"/>
  <c r="C799" i="34"/>
  <c r="B799" i="34" s="1"/>
  <c r="C800" i="34"/>
  <c r="B800" i="34" s="1"/>
  <c r="C801" i="34"/>
  <c r="B801" i="34" s="1"/>
  <c r="C802" i="34"/>
  <c r="B802" i="34" s="1"/>
  <c r="C803" i="34"/>
  <c r="B803" i="34" s="1"/>
  <c r="C806" i="34"/>
  <c r="B806" i="34" s="1"/>
  <c r="C807" i="34"/>
  <c r="B807" i="34" s="1"/>
  <c r="C808" i="34"/>
  <c r="B808" i="34" s="1"/>
  <c r="C809" i="34"/>
  <c r="B809" i="34" s="1"/>
  <c r="C810" i="34"/>
  <c r="B810" i="34" s="1"/>
  <c r="C813" i="34"/>
  <c r="B813" i="34" s="1"/>
  <c r="A813" i="34" s="1"/>
  <c r="C814" i="34"/>
  <c r="B814" i="34" s="1"/>
  <c r="C815" i="34"/>
  <c r="B815" i="34" s="1"/>
  <c r="C816" i="34"/>
  <c r="B816" i="34" s="1"/>
  <c r="C817" i="34"/>
  <c r="B817" i="34" s="1"/>
  <c r="C818" i="34"/>
  <c r="B818" i="34" s="1"/>
  <c r="C819" i="34"/>
  <c r="B819" i="34" s="1"/>
  <c r="C820" i="34"/>
  <c r="B820" i="34" s="1"/>
  <c r="C821" i="34"/>
  <c r="B821" i="34" s="1"/>
  <c r="C822" i="34"/>
  <c r="B822" i="34" s="1"/>
  <c r="C823" i="34"/>
  <c r="B823" i="34" s="1"/>
  <c r="C824" i="34"/>
  <c r="B824" i="34" s="1"/>
  <c r="C825" i="34"/>
  <c r="B825" i="34" s="1"/>
  <c r="C826" i="34"/>
  <c r="B826" i="34" s="1"/>
  <c r="C827" i="34"/>
  <c r="B827" i="34" s="1"/>
  <c r="C831" i="34"/>
  <c r="B831" i="34" s="1"/>
  <c r="C832" i="34"/>
  <c r="B832" i="34" s="1"/>
  <c r="C833" i="34"/>
  <c r="B833" i="34" s="1"/>
  <c r="C834" i="34"/>
  <c r="B834" i="34" s="1"/>
  <c r="C835" i="34"/>
  <c r="B835" i="34" s="1"/>
  <c r="C836" i="34"/>
  <c r="B836" i="34" s="1"/>
  <c r="C837" i="34"/>
  <c r="B837" i="34" s="1"/>
  <c r="C838" i="34"/>
  <c r="B838" i="34" s="1"/>
  <c r="C839" i="34"/>
  <c r="B839" i="34" s="1"/>
  <c r="C840" i="34"/>
  <c r="B840" i="34" s="1"/>
  <c r="C841" i="34"/>
  <c r="B841" i="34" s="1"/>
  <c r="C842" i="34"/>
  <c r="B842" i="34" s="1"/>
  <c r="C843" i="34"/>
  <c r="B843" i="34" s="1"/>
  <c r="B10" i="34"/>
  <c r="C11" i="34"/>
  <c r="B11" i="34" s="1"/>
  <c r="C12" i="34"/>
  <c r="B12" i="34"/>
  <c r="C13" i="34"/>
  <c r="B13" i="34" s="1"/>
  <c r="C14" i="34"/>
  <c r="B14" i="34" s="1"/>
  <c r="C15" i="34"/>
  <c r="B15" i="34" s="1"/>
  <c r="C16" i="34"/>
  <c r="B16" i="34" s="1"/>
  <c r="C844" i="34"/>
  <c r="B844" i="34" s="1"/>
  <c r="C845" i="34"/>
  <c r="B845" i="34" s="1"/>
  <c r="A845" i="34" s="1"/>
  <c r="C846" i="34"/>
  <c r="B846" i="34" s="1"/>
  <c r="C847" i="34"/>
  <c r="B847" i="34"/>
  <c r="C848" i="34"/>
  <c r="B848" i="34" s="1"/>
  <c r="C849" i="34"/>
  <c r="B849" i="34" s="1"/>
  <c r="C850" i="34"/>
  <c r="B850" i="34" s="1"/>
  <c r="C851" i="34"/>
  <c r="B851" i="34" s="1"/>
  <c r="C852" i="34"/>
  <c r="B852" i="34" s="1"/>
  <c r="C853" i="34"/>
  <c r="B853" i="34" s="1"/>
  <c r="C854" i="34"/>
  <c r="B854" i="34" s="1"/>
  <c r="C855" i="34"/>
  <c r="B855" i="34" s="1"/>
  <c r="C856" i="34"/>
  <c r="B856" i="34" s="1"/>
  <c r="O856" i="34" s="1"/>
  <c r="C857" i="34"/>
  <c r="B857" i="34" s="1"/>
  <c r="C858" i="34"/>
  <c r="B858" i="34" s="1"/>
  <c r="C859" i="34"/>
  <c r="B859" i="34" s="1"/>
  <c r="C860" i="34"/>
  <c r="B860" i="34" s="1"/>
  <c r="C861" i="34"/>
  <c r="B861" i="34" s="1"/>
  <c r="C862" i="34"/>
  <c r="B862" i="34" s="1"/>
  <c r="C863" i="34"/>
  <c r="B863" i="34" s="1"/>
  <c r="C864" i="34"/>
  <c r="B864" i="34" s="1"/>
  <c r="C865" i="34"/>
  <c r="B865" i="34" s="1"/>
  <c r="C866" i="34"/>
  <c r="B866" i="34" s="1"/>
  <c r="C867" i="34"/>
  <c r="B867" i="34" s="1"/>
  <c r="C868" i="34"/>
  <c r="B868" i="34" s="1"/>
  <c r="C869" i="34"/>
  <c r="B869" i="34" s="1"/>
  <c r="C870" i="34"/>
  <c r="B870" i="34" s="1"/>
  <c r="C871" i="34"/>
  <c r="B871" i="34" s="1"/>
  <c r="C872" i="34"/>
  <c r="B872" i="34" s="1"/>
  <c r="C873" i="34"/>
  <c r="B873" i="34"/>
  <c r="C874" i="34"/>
  <c r="B874" i="34" s="1"/>
  <c r="C875" i="34"/>
  <c r="B875" i="34"/>
  <c r="C876" i="34"/>
  <c r="B876" i="34" s="1"/>
  <c r="C877" i="34"/>
  <c r="B877" i="34" s="1"/>
  <c r="C878" i="34"/>
  <c r="B878" i="34" s="1"/>
  <c r="C879" i="34"/>
  <c r="B879" i="34" s="1"/>
  <c r="C880" i="34"/>
  <c r="B880" i="34" s="1"/>
  <c r="C881" i="34"/>
  <c r="B881" i="34" s="1"/>
  <c r="C882" i="34"/>
  <c r="B882" i="34"/>
  <c r="C883" i="34"/>
  <c r="B883" i="34" s="1"/>
  <c r="C884" i="34"/>
  <c r="B884" i="34" s="1"/>
  <c r="C885" i="34"/>
  <c r="B885" i="34"/>
  <c r="C886" i="34"/>
  <c r="B886" i="34" s="1"/>
  <c r="C887" i="34"/>
  <c r="B887" i="34" s="1"/>
  <c r="C888" i="34"/>
  <c r="B888" i="34" s="1"/>
  <c r="C889" i="34"/>
  <c r="B889" i="34" s="1"/>
  <c r="C890" i="34"/>
  <c r="B890" i="34" s="1"/>
  <c r="C891" i="34"/>
  <c r="B891" i="34" s="1"/>
  <c r="C892" i="34"/>
  <c r="B892" i="34" s="1"/>
  <c r="C893" i="34"/>
  <c r="B893" i="34" s="1"/>
  <c r="C894" i="34"/>
  <c r="B894" i="34" s="1"/>
  <c r="C895" i="34"/>
  <c r="B895" i="34" s="1"/>
  <c r="C896" i="34"/>
  <c r="B896" i="34" s="1"/>
  <c r="C897" i="34"/>
  <c r="B897" i="34" s="1"/>
  <c r="C898" i="34"/>
  <c r="B898" i="34" s="1"/>
  <c r="C899" i="34"/>
  <c r="B899" i="34" s="1"/>
  <c r="C900" i="34"/>
  <c r="B900" i="34" s="1"/>
  <c r="C901" i="34"/>
  <c r="B901" i="34" s="1"/>
  <c r="C902" i="34"/>
  <c r="B902" i="34" s="1"/>
  <c r="C903" i="34"/>
  <c r="B903" i="34" s="1"/>
  <c r="C904" i="34"/>
  <c r="B904" i="34" s="1"/>
  <c r="C905" i="34"/>
  <c r="B905" i="34" s="1"/>
  <c r="C906" i="34"/>
  <c r="B906" i="34" s="1"/>
  <c r="C907" i="34"/>
  <c r="B907" i="34" s="1"/>
  <c r="C908" i="34"/>
  <c r="B908" i="34" s="1"/>
  <c r="C909" i="34"/>
  <c r="B909" i="34" s="1"/>
  <c r="C910" i="34"/>
  <c r="B910" i="34" s="1"/>
  <c r="C911" i="34"/>
  <c r="B911" i="34" s="1"/>
  <c r="C912" i="34"/>
  <c r="B912" i="34" s="1"/>
  <c r="C913" i="34"/>
  <c r="B913" i="34" s="1"/>
  <c r="C914" i="34"/>
  <c r="B914" i="34" s="1"/>
  <c r="C915" i="34"/>
  <c r="B915" i="34" s="1"/>
  <c r="C916" i="34"/>
  <c r="B916" i="34" s="1"/>
  <c r="C917" i="34"/>
  <c r="B917" i="34"/>
  <c r="C918" i="34"/>
  <c r="B918" i="34" s="1"/>
  <c r="C919" i="34"/>
  <c r="B919" i="34" s="1"/>
  <c r="C920" i="34"/>
  <c r="B920" i="34" s="1"/>
  <c r="C921" i="34"/>
  <c r="B921" i="34" s="1"/>
  <c r="C922" i="34"/>
  <c r="B922" i="34" s="1"/>
  <c r="C923" i="34"/>
  <c r="B923" i="34" s="1"/>
  <c r="C924" i="34"/>
  <c r="B924" i="34" s="1"/>
  <c r="C925" i="34"/>
  <c r="B925" i="34" s="1"/>
  <c r="C926" i="34"/>
  <c r="B926" i="34" s="1"/>
  <c r="C927" i="34"/>
  <c r="B927" i="34" s="1"/>
  <c r="C928" i="34"/>
  <c r="B928" i="34" s="1"/>
  <c r="C929" i="34"/>
  <c r="B929" i="34" s="1"/>
  <c r="C930" i="34"/>
  <c r="B930" i="34" s="1"/>
  <c r="C931" i="34"/>
  <c r="B931" i="34" s="1"/>
  <c r="C932" i="34"/>
  <c r="B932" i="34" s="1"/>
  <c r="C933" i="34"/>
  <c r="B933" i="34" s="1"/>
  <c r="C934" i="34"/>
  <c r="B934" i="34" s="1"/>
  <c r="C935" i="34"/>
  <c r="B935" i="34" s="1"/>
  <c r="C936" i="34"/>
  <c r="B936" i="34" s="1"/>
  <c r="C937" i="34"/>
  <c r="B937" i="34" s="1"/>
  <c r="C938" i="34"/>
  <c r="B938" i="34" s="1"/>
  <c r="C939" i="34"/>
  <c r="B939" i="34" s="1"/>
  <c r="C940" i="34"/>
  <c r="B940" i="34" s="1"/>
  <c r="C941" i="34"/>
  <c r="B941" i="34" s="1"/>
  <c r="C942" i="34"/>
  <c r="B942" i="34" s="1"/>
  <c r="C943" i="34"/>
  <c r="B943" i="34" s="1"/>
  <c r="C944" i="34"/>
  <c r="B944" i="34" s="1"/>
  <c r="C945" i="34"/>
  <c r="B945" i="34" s="1"/>
  <c r="C946" i="34"/>
  <c r="B946" i="34" s="1"/>
  <c r="C947" i="34"/>
  <c r="B947" i="34" s="1"/>
  <c r="C948" i="34"/>
  <c r="B948" i="34" s="1"/>
  <c r="C949" i="34"/>
  <c r="B949" i="34"/>
  <c r="C950" i="34"/>
  <c r="B950" i="34" s="1"/>
  <c r="C951" i="34"/>
  <c r="B951" i="34" s="1"/>
  <c r="C952" i="34"/>
  <c r="B952" i="34" s="1"/>
  <c r="C953" i="34"/>
  <c r="B953" i="34" s="1"/>
  <c r="C954" i="34"/>
  <c r="B954" i="34" s="1"/>
  <c r="C955" i="34"/>
  <c r="B955" i="34" s="1"/>
  <c r="C956" i="34"/>
  <c r="B956" i="34" s="1"/>
  <c r="C957" i="34"/>
  <c r="B957" i="34" s="1"/>
  <c r="C958" i="34"/>
  <c r="B958" i="34" s="1"/>
  <c r="O958" i="34" s="1"/>
  <c r="C959" i="34"/>
  <c r="B959" i="34" s="1"/>
  <c r="C960" i="34"/>
  <c r="B960" i="34" s="1"/>
  <c r="C961" i="34"/>
  <c r="B961" i="34" s="1"/>
  <c r="C962" i="34"/>
  <c r="B962" i="34" s="1"/>
  <c r="C963" i="34"/>
  <c r="B963" i="34" s="1"/>
  <c r="C964" i="34"/>
  <c r="B964" i="34" s="1"/>
  <c r="C965" i="34"/>
  <c r="B965" i="34" s="1"/>
  <c r="C966" i="34"/>
  <c r="B966" i="34" s="1"/>
  <c r="C967" i="34"/>
  <c r="B967" i="34" s="1"/>
  <c r="C968" i="34"/>
  <c r="B968" i="34" s="1"/>
  <c r="C969" i="34"/>
  <c r="B969" i="34" s="1"/>
  <c r="C970" i="34"/>
  <c r="B970" i="34" s="1"/>
  <c r="C971" i="34"/>
  <c r="B971" i="34" s="1"/>
  <c r="C972" i="34"/>
  <c r="B972" i="34" s="1"/>
  <c r="C973" i="34"/>
  <c r="B973" i="34" s="1"/>
  <c r="C974" i="34"/>
  <c r="B974" i="34" s="1"/>
  <c r="C975" i="34"/>
  <c r="B975" i="34" s="1"/>
  <c r="C976" i="34"/>
  <c r="B976" i="34" s="1"/>
  <c r="C977" i="34"/>
  <c r="B977" i="34" s="1"/>
  <c r="C978" i="34"/>
  <c r="B978" i="34" s="1"/>
  <c r="C979" i="34"/>
  <c r="B979" i="34" s="1"/>
  <c r="C980" i="34"/>
  <c r="B980" i="34" s="1"/>
  <c r="C981" i="34"/>
  <c r="B981" i="34"/>
  <c r="C982" i="34"/>
  <c r="B982" i="34" s="1"/>
  <c r="C983" i="34"/>
  <c r="B983" i="34" s="1"/>
  <c r="C984" i="34"/>
  <c r="B984" i="34" s="1"/>
  <c r="C985" i="34"/>
  <c r="B985" i="34" s="1"/>
  <c r="C986" i="34"/>
  <c r="B986" i="34" s="1"/>
  <c r="C987" i="34"/>
  <c r="B987" i="34" s="1"/>
  <c r="C988" i="34"/>
  <c r="B988" i="34" s="1"/>
  <c r="C989" i="34"/>
  <c r="B989" i="34" s="1"/>
  <c r="C990" i="34"/>
  <c r="B990" i="34" s="1"/>
  <c r="C991" i="34"/>
  <c r="B991" i="34" s="1"/>
  <c r="C992" i="34"/>
  <c r="B992" i="34" s="1"/>
  <c r="C993" i="34"/>
  <c r="B993" i="34" s="1"/>
  <c r="C994" i="34"/>
  <c r="B994" i="34" s="1"/>
  <c r="C995" i="34"/>
  <c r="B995" i="34" s="1"/>
  <c r="C996" i="34"/>
  <c r="B996" i="34" s="1"/>
  <c r="C997" i="34"/>
  <c r="B997" i="34" s="1"/>
  <c r="C998" i="34"/>
  <c r="B998" i="34" s="1"/>
  <c r="C999" i="34"/>
  <c r="B999" i="34" s="1"/>
  <c r="C1000" i="34"/>
  <c r="B1000" i="34" s="1"/>
  <c r="C1001" i="34"/>
  <c r="B1001" i="34" s="1"/>
  <c r="C1002" i="34"/>
  <c r="B1002" i="34" s="1"/>
  <c r="C1003" i="34"/>
  <c r="B1003" i="34" s="1"/>
  <c r="C1004" i="34"/>
  <c r="B1004" i="34" s="1"/>
  <c r="C1005" i="34"/>
  <c r="B1005" i="34"/>
  <c r="C1006" i="34"/>
  <c r="B1006" i="34" s="1"/>
  <c r="C1007" i="34"/>
  <c r="B1007" i="34" s="1"/>
  <c r="C1008" i="34"/>
  <c r="B1008" i="34" s="1"/>
  <c r="C1009" i="34"/>
  <c r="B1009" i="34" s="1"/>
  <c r="C1010" i="34"/>
  <c r="B1010" i="34" s="1"/>
  <c r="C1011" i="34"/>
  <c r="B1011" i="34" s="1"/>
  <c r="C1012" i="34"/>
  <c r="B1012" i="34" s="1"/>
  <c r="C1013" i="34"/>
  <c r="B1013" i="34" s="1"/>
  <c r="C1014" i="34"/>
  <c r="B1014" i="34" s="1"/>
  <c r="C1015" i="34"/>
  <c r="B1015" i="34" s="1"/>
  <c r="C1016" i="34"/>
  <c r="B1016" i="34" s="1"/>
  <c r="C1017" i="34"/>
  <c r="B1017" i="34" s="1"/>
  <c r="C1018" i="34"/>
  <c r="B1018" i="34" s="1"/>
  <c r="C1019" i="34"/>
  <c r="B1019" i="34" s="1"/>
  <c r="C1020" i="34"/>
  <c r="B1020" i="34" s="1"/>
  <c r="C1021" i="34"/>
  <c r="B1021" i="34" s="1"/>
  <c r="C1022" i="34"/>
  <c r="B1022" i="34"/>
  <c r="C1023" i="34"/>
  <c r="B1023" i="34" s="1"/>
  <c r="C1024" i="34"/>
  <c r="B1024" i="34" s="1"/>
  <c r="C1025" i="34"/>
  <c r="B1025" i="34" s="1"/>
  <c r="C1026" i="34"/>
  <c r="B1026" i="34" s="1"/>
  <c r="C1027" i="34"/>
  <c r="B1027" i="34" s="1"/>
  <c r="C1028" i="34"/>
  <c r="B1028" i="34" s="1"/>
  <c r="C1029" i="34"/>
  <c r="B1029" i="34" s="1"/>
  <c r="C1030" i="34"/>
  <c r="B1030" i="34"/>
  <c r="C1031" i="34"/>
  <c r="B1031" i="34"/>
  <c r="C1032" i="34"/>
  <c r="B1032" i="34" s="1"/>
  <c r="C1033" i="34"/>
  <c r="B1033" i="34" s="1"/>
  <c r="C1034" i="34"/>
  <c r="B1034" i="34" s="1"/>
  <c r="C1035" i="34"/>
  <c r="B1035" i="34" s="1"/>
  <c r="C1036" i="34"/>
  <c r="B1036" i="34" s="1"/>
  <c r="C1037" i="34"/>
  <c r="B1037" i="34" s="1"/>
  <c r="C1038" i="34"/>
  <c r="B1038" i="34"/>
  <c r="C1039" i="34"/>
  <c r="B1039" i="34" s="1"/>
  <c r="C1040" i="34"/>
  <c r="B1040" i="34" s="1"/>
  <c r="C1041" i="34"/>
  <c r="B1041" i="34" s="1"/>
  <c r="C1042" i="34"/>
  <c r="B1042" i="34" s="1"/>
  <c r="C1043" i="34"/>
  <c r="B1043" i="34" s="1"/>
  <c r="C1044" i="34"/>
  <c r="B1044" i="34" s="1"/>
  <c r="C1045" i="34"/>
  <c r="B1045" i="34" s="1"/>
  <c r="C1046" i="34"/>
  <c r="B1046" i="34"/>
  <c r="C1047" i="34"/>
  <c r="B1047" i="34"/>
  <c r="C1048" i="34"/>
  <c r="B1048" i="34" s="1"/>
  <c r="C1049" i="34"/>
  <c r="B1049" i="34" s="1"/>
  <c r="C1050" i="34"/>
  <c r="B1050" i="34" s="1"/>
  <c r="C1051" i="34"/>
  <c r="B1051" i="34" s="1"/>
  <c r="C1052" i="34"/>
  <c r="B1052" i="34" s="1"/>
  <c r="C1053" i="34"/>
  <c r="B1053" i="34" s="1"/>
  <c r="C1054" i="34"/>
  <c r="B1054" i="34"/>
  <c r="C1055" i="34"/>
  <c r="B1055" i="34"/>
  <c r="C1056" i="34"/>
  <c r="B1056" i="34" s="1"/>
  <c r="C1057" i="34"/>
  <c r="B1057" i="34" s="1"/>
  <c r="C1058" i="34"/>
  <c r="B1058" i="34" s="1"/>
  <c r="C1059" i="34"/>
  <c r="B1059" i="34" s="1"/>
  <c r="C1060" i="34"/>
  <c r="B1060" i="34"/>
  <c r="C1061" i="34"/>
  <c r="B1061" i="34" s="1"/>
  <c r="C1062" i="34"/>
  <c r="B1062" i="34" s="1"/>
  <c r="C1063" i="34"/>
  <c r="B1063" i="34" s="1"/>
  <c r="C1064" i="34"/>
  <c r="B1064" i="34" s="1"/>
  <c r="C1065" i="34"/>
  <c r="B1065" i="34" s="1"/>
  <c r="C1066" i="34"/>
  <c r="B1066" i="34" s="1"/>
  <c r="C1067" i="34"/>
  <c r="B1067" i="34" s="1"/>
  <c r="C1068" i="34"/>
  <c r="B1068" i="34"/>
  <c r="C1069" i="34"/>
  <c r="B1069" i="34" s="1"/>
  <c r="C1070" i="34"/>
  <c r="B1070" i="34" s="1"/>
  <c r="C1071" i="34"/>
  <c r="B1071" i="34" s="1"/>
  <c r="C1072" i="34"/>
  <c r="B1072" i="34" s="1"/>
  <c r="C1073" i="34"/>
  <c r="B1073" i="34" s="1"/>
  <c r="C1074" i="34"/>
  <c r="B1074" i="34" s="1"/>
  <c r="C1075" i="34"/>
  <c r="B1075" i="34" s="1"/>
  <c r="C1076" i="34"/>
  <c r="B1076" i="34" s="1"/>
  <c r="C1077" i="34"/>
  <c r="B1077" i="34" s="1"/>
  <c r="C1078" i="34"/>
  <c r="B1078" i="34"/>
  <c r="C1079" i="34"/>
  <c r="B1079" i="34" s="1"/>
  <c r="C1080" i="34"/>
  <c r="B1080" i="34" s="1"/>
  <c r="C1081" i="34"/>
  <c r="B1081" i="34" s="1"/>
  <c r="C1082" i="34"/>
  <c r="B1082" i="34"/>
  <c r="C1083" i="34"/>
  <c r="B1083" i="34" s="1"/>
  <c r="C1084" i="34"/>
  <c r="B1084" i="34" s="1"/>
  <c r="C1085" i="34"/>
  <c r="B1085" i="34" s="1"/>
  <c r="C1086" i="34"/>
  <c r="B1086" i="34" s="1"/>
  <c r="C1087" i="34"/>
  <c r="B1087" i="34" s="1"/>
  <c r="O1087" i="34"/>
  <c r="C1088" i="34"/>
  <c r="B1088" i="34" s="1"/>
  <c r="C1089" i="34"/>
  <c r="B1089" i="34" s="1"/>
  <c r="C1090" i="34"/>
  <c r="B1090" i="34" s="1"/>
  <c r="C1091" i="34"/>
  <c r="B1091" i="34" s="1"/>
  <c r="O1091" i="34" s="1"/>
  <c r="C1092" i="34"/>
  <c r="B1092" i="34" s="1"/>
  <c r="C1093" i="34"/>
  <c r="B1093" i="34" s="1"/>
  <c r="C1094" i="34"/>
  <c r="B1094" i="34" s="1"/>
  <c r="C1095" i="34"/>
  <c r="B1095" i="34" s="1"/>
  <c r="O1095" i="34" s="1"/>
  <c r="C1096" i="34"/>
  <c r="B1096" i="34"/>
  <c r="C1097" i="34"/>
  <c r="B1097" i="34" s="1"/>
  <c r="C1098" i="34"/>
  <c r="B1098" i="34" s="1"/>
  <c r="O1098" i="34" s="1"/>
  <c r="C1099" i="34"/>
  <c r="B1099" i="34" s="1"/>
  <c r="C1100" i="34"/>
  <c r="B1100" i="34"/>
  <c r="C1101" i="34"/>
  <c r="B1101" i="34" s="1"/>
  <c r="O1101" i="34" s="1"/>
  <c r="C1102" i="34"/>
  <c r="B1102" i="34" s="1"/>
  <c r="C1103" i="34"/>
  <c r="B1103" i="34" s="1"/>
  <c r="C1104" i="34"/>
  <c r="B1104" i="34" s="1"/>
  <c r="C1105" i="34"/>
  <c r="B1105" i="34" s="1"/>
  <c r="O1105" i="34" s="1"/>
  <c r="C1106" i="34"/>
  <c r="B1106" i="34"/>
  <c r="C1107" i="34"/>
  <c r="B1107" i="34" s="1"/>
  <c r="C1108" i="34"/>
  <c r="B1108" i="34" s="1"/>
  <c r="O1108" i="34" s="1"/>
  <c r="C1109" i="34"/>
  <c r="B1109" i="34" s="1"/>
  <c r="C1110" i="34"/>
  <c r="B1110" i="34"/>
  <c r="C1111" i="34"/>
  <c r="B1111" i="34" s="1"/>
  <c r="O1111" i="34" s="1"/>
  <c r="C1112" i="34"/>
  <c r="B1112" i="34" s="1"/>
  <c r="C1113" i="34"/>
  <c r="B1113" i="34" s="1"/>
  <c r="C1114" i="34"/>
  <c r="B1114" i="34"/>
  <c r="O1114" i="34" s="1"/>
  <c r="C1115" i="34"/>
  <c r="B1115" i="34" s="1"/>
  <c r="C1116" i="34"/>
  <c r="B1116" i="34" s="1"/>
  <c r="C1117" i="34"/>
  <c r="B1117" i="34" s="1"/>
  <c r="C1118" i="34"/>
  <c r="B1118" i="34" s="1"/>
  <c r="O1118" i="34" s="1"/>
  <c r="C1119" i="34"/>
  <c r="B1119" i="34" s="1"/>
  <c r="C1120" i="34"/>
  <c r="B1120" i="34" s="1"/>
  <c r="C1121" i="34"/>
  <c r="B1121" i="34" s="1"/>
  <c r="C1122" i="34"/>
  <c r="B1122" i="34" s="1"/>
  <c r="C1123" i="34"/>
  <c r="B1123" i="34" s="1"/>
  <c r="C1124" i="34"/>
  <c r="B1124" i="34" s="1"/>
  <c r="C1125" i="34"/>
  <c r="B1125" i="34" s="1"/>
  <c r="O1125" i="34" s="1"/>
  <c r="C1126" i="34"/>
  <c r="B1126" i="34" s="1"/>
  <c r="C1127" i="34"/>
  <c r="B1127" i="34" s="1"/>
  <c r="C1128" i="34"/>
  <c r="B1128" i="34" s="1"/>
  <c r="C1129" i="34"/>
  <c r="B1129" i="34" s="1"/>
  <c r="O1129" i="34" s="1"/>
  <c r="C1130" i="34"/>
  <c r="B1130" i="34" s="1"/>
  <c r="C1131" i="34"/>
  <c r="B1131" i="34" s="1"/>
  <c r="C1132" i="34"/>
  <c r="B1132" i="34"/>
  <c r="O1132" i="34" s="1"/>
  <c r="C1133" i="34"/>
  <c r="B1133" i="34" s="1"/>
  <c r="C1134" i="34"/>
  <c r="B1134" i="34" s="1"/>
  <c r="C1135" i="34"/>
  <c r="B1135" i="34" s="1"/>
  <c r="C1136" i="34"/>
  <c r="B1136" i="34" s="1"/>
  <c r="O1136" i="34" s="1"/>
  <c r="C1137" i="34"/>
  <c r="B1137" i="34" s="1"/>
  <c r="C1138" i="34"/>
  <c r="B1138" i="34" s="1"/>
  <c r="C1139" i="34"/>
  <c r="B1139" i="34" s="1"/>
  <c r="C1140" i="34"/>
  <c r="B1140" i="34" s="1"/>
  <c r="O1140" i="34" s="1"/>
  <c r="C1141" i="34"/>
  <c r="B1141" i="34" s="1"/>
  <c r="C1142" i="34"/>
  <c r="B1142" i="34" s="1"/>
  <c r="C1143" i="34"/>
  <c r="B1143" i="34" s="1"/>
  <c r="C1144" i="34"/>
  <c r="B1144" i="34" s="1"/>
  <c r="C1145" i="34"/>
  <c r="B1145" i="34" s="1"/>
  <c r="C1146" i="34"/>
  <c r="B1146" i="34" s="1"/>
  <c r="C1147" i="34"/>
  <c r="B1147" i="34" s="1"/>
  <c r="C1148" i="34"/>
  <c r="B1148" i="34" s="1"/>
  <c r="C1149" i="34"/>
  <c r="B1149" i="34" s="1"/>
  <c r="C1150" i="34"/>
  <c r="B1150" i="34" s="1"/>
  <c r="C1151" i="34"/>
  <c r="B1151" i="34" s="1"/>
  <c r="C1152" i="34"/>
  <c r="B1152" i="34" s="1"/>
  <c r="O1152" i="34" s="1"/>
  <c r="C1153" i="34"/>
  <c r="B1153" i="34" s="1"/>
  <c r="C1154" i="34"/>
  <c r="B1154" i="34" s="1"/>
  <c r="C1155" i="34"/>
  <c r="B1155" i="34" s="1"/>
  <c r="C1156" i="34"/>
  <c r="B1156" i="34"/>
  <c r="C1157" i="34"/>
  <c r="B1157" i="34" s="1"/>
  <c r="C1158" i="34"/>
  <c r="B1158" i="34" s="1"/>
  <c r="C1159" i="34"/>
  <c r="B1159" i="34" s="1"/>
  <c r="C1160" i="34"/>
  <c r="B1160" i="34"/>
  <c r="C1161" i="34"/>
  <c r="B1161" i="34" s="1"/>
  <c r="C1162" i="34"/>
  <c r="B1162" i="34" s="1"/>
  <c r="C1163" i="34"/>
  <c r="B1163" i="34" s="1"/>
  <c r="C1164" i="34"/>
  <c r="B1164" i="34" s="1"/>
  <c r="C1165" i="34"/>
  <c r="B1165" i="34" s="1"/>
  <c r="C1166" i="34"/>
  <c r="B1166" i="34" s="1"/>
  <c r="C1167" i="34"/>
  <c r="B1167" i="34" s="1"/>
  <c r="C1168" i="34"/>
  <c r="B1168" i="34" s="1"/>
  <c r="C1169" i="34"/>
  <c r="B1169" i="34" s="1"/>
  <c r="C1170" i="34"/>
  <c r="B1170" i="34" s="1"/>
  <c r="O1170" i="34" s="1"/>
  <c r="C1171" i="34"/>
  <c r="B1171" i="34" s="1"/>
  <c r="C1172" i="34"/>
  <c r="B1172" i="34" s="1"/>
  <c r="C1173" i="34"/>
  <c r="B1173" i="34" s="1"/>
  <c r="C1174" i="34"/>
  <c r="B1174" i="34" s="1"/>
  <c r="C1175" i="34"/>
  <c r="B1175" i="34" s="1"/>
  <c r="C1176" i="34"/>
  <c r="B1176" i="34" s="1"/>
  <c r="C1177" i="34"/>
  <c r="B1177" i="34" s="1"/>
  <c r="C1178" i="34"/>
  <c r="B1178" i="34" s="1"/>
  <c r="C1179" i="34"/>
  <c r="B1179" i="34" s="1"/>
  <c r="C1180" i="34"/>
  <c r="B1180" i="34" s="1"/>
  <c r="C1181" i="34"/>
  <c r="B1181" i="34" s="1"/>
  <c r="C1182" i="34"/>
  <c r="B1182" i="34" s="1"/>
  <c r="C1183" i="34"/>
  <c r="B1183" i="34" s="1"/>
  <c r="C1184" i="34"/>
  <c r="B1184" i="34" s="1"/>
  <c r="C1185" i="34"/>
  <c r="B1185" i="34" s="1"/>
  <c r="C1186" i="34"/>
  <c r="B1186" i="34" s="1"/>
  <c r="O1186" i="34" s="1"/>
  <c r="C1187" i="34"/>
  <c r="B1187" i="34" s="1"/>
  <c r="C1188" i="34"/>
  <c r="B1188" i="34" s="1"/>
  <c r="C1189" i="34"/>
  <c r="B1189" i="34" s="1"/>
  <c r="C1190" i="34"/>
  <c r="B1190" i="34" s="1"/>
  <c r="C1191" i="34"/>
  <c r="B1191" i="34" s="1"/>
  <c r="C1192" i="34"/>
  <c r="B1192" i="34" s="1"/>
  <c r="C1193" i="34"/>
  <c r="B1193" i="34" s="1"/>
  <c r="C1194" i="34"/>
  <c r="B1194" i="34" s="1"/>
  <c r="C1195" i="34"/>
  <c r="B1195" i="34" s="1"/>
  <c r="C1196" i="34"/>
  <c r="B1196" i="34" s="1"/>
  <c r="C1197" i="34"/>
  <c r="B1197" i="34" s="1"/>
  <c r="C1198" i="34"/>
  <c r="B1198" i="34" s="1"/>
  <c r="C1199" i="34"/>
  <c r="B1199" i="34" s="1"/>
  <c r="C1200" i="34"/>
  <c r="B1200" i="34"/>
  <c r="C1201" i="34"/>
  <c r="B1201" i="34" s="1"/>
  <c r="C1202" i="34"/>
  <c r="B1202" i="34"/>
  <c r="C1203" i="34"/>
  <c r="B1203" i="34" s="1"/>
  <c r="C1204" i="34"/>
  <c r="B1204" i="34" s="1"/>
  <c r="C1205" i="34"/>
  <c r="B1205" i="34" s="1"/>
  <c r="C1206" i="34"/>
  <c r="B1206" i="34" s="1"/>
  <c r="C1207" i="34"/>
  <c r="B1207" i="34"/>
  <c r="C1208" i="34"/>
  <c r="B1208" i="34" s="1"/>
  <c r="C1209" i="34"/>
  <c r="B1209" i="34" s="1"/>
  <c r="C1210" i="34"/>
  <c r="B1210" i="34" s="1"/>
  <c r="C1211" i="34"/>
  <c r="B1211" i="34" s="1"/>
  <c r="C1212" i="34"/>
  <c r="B1212" i="34" s="1"/>
  <c r="C1213" i="34"/>
  <c r="B1213" i="34" s="1"/>
  <c r="C1214" i="34"/>
  <c r="B1214" i="34" s="1"/>
  <c r="C1215" i="34"/>
  <c r="B1215" i="34" s="1"/>
  <c r="O1215" i="34" s="1"/>
  <c r="C1216" i="34"/>
  <c r="B1216" i="34" s="1"/>
  <c r="C1217" i="34"/>
  <c r="B1217" i="34" s="1"/>
  <c r="C1218" i="34"/>
  <c r="B1218" i="34" s="1"/>
  <c r="C1219" i="34"/>
  <c r="B1219" i="34" s="1"/>
  <c r="C1220" i="34"/>
  <c r="B1220" i="34"/>
  <c r="C1221" i="34"/>
  <c r="B1221" i="34" s="1"/>
  <c r="C1222" i="34"/>
  <c r="B1222" i="34"/>
  <c r="C1223" i="34"/>
  <c r="B1223" i="34" s="1"/>
  <c r="C1224" i="34"/>
  <c r="B1224" i="34" s="1"/>
  <c r="C1225" i="34"/>
  <c r="B1225" i="34" s="1"/>
  <c r="O1225" i="34" s="1"/>
  <c r="C1226" i="34"/>
  <c r="B1226" i="34" s="1"/>
  <c r="C1227" i="34"/>
  <c r="B1227" i="34" s="1"/>
  <c r="C1228" i="34"/>
  <c r="B1228" i="34"/>
  <c r="O1228" i="34" s="1"/>
  <c r="C1229" i="34"/>
  <c r="B1229" i="34" s="1"/>
  <c r="C1230" i="34"/>
  <c r="B1230" i="34" s="1"/>
  <c r="C1231" i="34"/>
  <c r="B1231" i="34" s="1"/>
  <c r="C1232" i="34"/>
  <c r="B1232" i="34" s="1"/>
  <c r="O1232" i="34" s="1"/>
  <c r="C1233" i="34"/>
  <c r="B1233" i="34" s="1"/>
  <c r="C1234" i="34"/>
  <c r="B1234" i="34" s="1"/>
  <c r="C1235" i="34"/>
  <c r="B1235" i="34" s="1"/>
  <c r="C1236" i="34"/>
  <c r="B1236" i="34" s="1"/>
  <c r="O1236" i="34" s="1"/>
  <c r="C1237" i="34"/>
  <c r="B1237" i="34" s="1"/>
  <c r="C1238" i="34"/>
  <c r="B1238" i="34" s="1"/>
  <c r="C1239" i="34"/>
  <c r="B1239" i="34" s="1"/>
  <c r="C1240" i="34"/>
  <c r="B1240" i="34" s="1"/>
  <c r="O1240" i="34" s="1"/>
  <c r="C1241" i="34"/>
  <c r="B1241" i="34" s="1"/>
  <c r="C1242" i="34"/>
  <c r="B1242" i="34" s="1"/>
  <c r="C1243" i="34"/>
  <c r="B1243" i="34" s="1"/>
  <c r="C1244" i="34"/>
  <c r="B1244" i="34" s="1"/>
  <c r="C1245" i="34"/>
  <c r="B1245" i="34" s="1"/>
  <c r="C1246" i="34"/>
  <c r="B1246" i="34" s="1"/>
  <c r="C1247" i="34"/>
  <c r="B1247" i="34" s="1"/>
  <c r="C1248" i="34"/>
  <c r="B1248" i="34" s="1"/>
  <c r="C1249" i="34"/>
  <c r="B1249" i="34" s="1"/>
  <c r="C1250" i="34"/>
  <c r="B1250" i="34" s="1"/>
  <c r="C1251" i="34"/>
  <c r="B1251" i="34"/>
  <c r="C1252" i="34"/>
  <c r="B1252" i="34" s="1"/>
  <c r="C1253" i="34"/>
  <c r="B1253" i="34" s="1"/>
  <c r="C1254" i="34"/>
  <c r="B1254" i="34" s="1"/>
  <c r="C1255" i="34"/>
  <c r="B1255" i="34" s="1"/>
  <c r="C1256" i="34"/>
  <c r="B1256" i="34" s="1"/>
  <c r="C1257" i="34"/>
  <c r="B1257" i="34" s="1"/>
  <c r="C1258" i="34"/>
  <c r="B1258" i="34"/>
  <c r="O1258" i="34" s="1"/>
  <c r="C1259" i="34"/>
  <c r="B1259" i="34" s="1"/>
  <c r="C1260" i="34"/>
  <c r="B1260" i="34" s="1"/>
  <c r="C1261" i="34"/>
  <c r="B1261" i="34" s="1"/>
  <c r="C1262" i="34"/>
  <c r="B1262" i="34" s="1"/>
  <c r="C1263" i="34"/>
  <c r="B1263" i="34" s="1"/>
  <c r="C1264" i="34"/>
  <c r="B1264" i="34"/>
  <c r="C1265" i="34"/>
  <c r="B1265" i="34" s="1"/>
  <c r="C1266" i="34"/>
  <c r="B1266" i="34" s="1"/>
  <c r="C1267" i="34"/>
  <c r="B1267" i="34" s="1"/>
  <c r="C1268" i="34"/>
  <c r="B1268" i="34" s="1"/>
  <c r="C1269" i="34"/>
  <c r="B1269" i="34" s="1"/>
  <c r="O1269" i="34" s="1"/>
  <c r="C1270" i="34"/>
  <c r="B1270" i="34" s="1"/>
  <c r="C1271" i="34"/>
  <c r="B1271" i="34" s="1"/>
  <c r="C1272" i="34"/>
  <c r="B1272" i="34"/>
  <c r="O1272" i="34" s="1"/>
  <c r="C1273" i="34"/>
  <c r="B1273" i="34" s="1"/>
  <c r="C1274" i="34"/>
  <c r="B1274" i="34"/>
  <c r="C1275" i="34"/>
  <c r="B1275" i="34" s="1"/>
  <c r="O1275" i="34" s="1"/>
  <c r="C1276" i="34"/>
  <c r="B1276" i="34" s="1"/>
  <c r="C1277" i="34"/>
  <c r="B1277" i="34" s="1"/>
  <c r="C1278" i="34"/>
  <c r="B1278" i="34" s="1"/>
  <c r="C1279" i="34"/>
  <c r="B1279" i="34" s="1"/>
  <c r="C1280" i="34"/>
  <c r="B1280" i="34" s="1"/>
  <c r="C1281" i="34"/>
  <c r="B1281" i="34" s="1"/>
  <c r="C1282" i="34"/>
  <c r="B1282" i="34" s="1"/>
  <c r="C1283" i="34"/>
  <c r="B1283" i="34" s="1"/>
  <c r="C1284" i="34"/>
  <c r="B1284" i="34" s="1"/>
  <c r="C1285" i="34"/>
  <c r="B1285" i="34" s="1"/>
  <c r="C1286" i="34"/>
  <c r="B1286" i="34" s="1"/>
  <c r="C1287" i="34"/>
  <c r="B1287" i="34" s="1"/>
  <c r="C1288" i="34"/>
  <c r="B1288" i="34" s="1"/>
  <c r="C1289" i="34"/>
  <c r="B1289" i="34" s="1"/>
  <c r="C1290" i="34"/>
  <c r="B1290" i="34" s="1"/>
  <c r="C1291" i="34"/>
  <c r="B1291" i="34" s="1"/>
  <c r="O1291" i="34" s="1"/>
  <c r="C1292" i="34"/>
  <c r="B1292" i="34" s="1"/>
  <c r="C1293" i="34"/>
  <c r="B1293" i="34" s="1"/>
  <c r="C1294" i="34"/>
  <c r="B1294" i="34" s="1"/>
  <c r="C1295" i="34"/>
  <c r="B1295" i="34" s="1"/>
  <c r="O1295" i="34" s="1"/>
  <c r="C1296" i="34"/>
  <c r="B1296" i="34" s="1"/>
  <c r="C1297" i="34"/>
  <c r="B1297" i="34" s="1"/>
  <c r="C1298" i="34"/>
  <c r="B1298" i="34" s="1"/>
  <c r="C1299" i="34"/>
  <c r="B1299" i="34" s="1"/>
  <c r="O1299" i="34" s="1"/>
  <c r="C1300" i="34"/>
  <c r="B1300" i="34"/>
  <c r="C1301" i="34"/>
  <c r="B1301" i="34" s="1"/>
  <c r="C1302" i="34"/>
  <c r="B1302" i="34" s="1"/>
  <c r="O1302" i="34" s="1"/>
  <c r="C1303" i="34"/>
  <c r="B1303" i="34" s="1"/>
  <c r="C1304" i="34"/>
  <c r="B1304" i="34" s="1"/>
  <c r="C1305" i="34"/>
  <c r="B1305" i="34" s="1"/>
  <c r="C1306" i="34"/>
  <c r="B1306" i="34" s="1"/>
  <c r="C1307" i="34"/>
  <c r="B1307" i="34" s="1"/>
  <c r="C1308" i="34"/>
  <c r="B1308" i="34" s="1"/>
  <c r="C1309" i="34"/>
  <c r="B1309" i="34" s="1"/>
  <c r="C1310" i="34"/>
  <c r="B1310" i="34" s="1"/>
  <c r="C1311" i="34"/>
  <c r="B1311" i="34" s="1"/>
  <c r="C1312" i="34"/>
  <c r="B1312" i="34"/>
  <c r="C1313" i="34"/>
  <c r="B1313" i="34" s="1"/>
  <c r="C1314" i="34"/>
  <c r="B1314" i="34" s="1"/>
  <c r="C1315" i="34"/>
  <c r="B1315" i="34" s="1"/>
  <c r="C1316" i="34"/>
  <c r="B1316" i="34" s="1"/>
  <c r="C1317" i="34"/>
  <c r="B1317" i="34" s="1"/>
  <c r="C1318" i="34"/>
  <c r="B1318" i="34" s="1"/>
  <c r="C1319" i="34"/>
  <c r="B1319" i="34" s="1"/>
  <c r="C1320" i="34"/>
  <c r="B1320" i="34"/>
  <c r="O1320" i="34" s="1"/>
  <c r="C1321" i="34"/>
  <c r="B1321" i="34" s="1"/>
  <c r="C1322" i="34"/>
  <c r="B1322" i="34" s="1"/>
  <c r="C1323" i="34"/>
  <c r="B1323" i="34" s="1"/>
  <c r="C1324" i="34"/>
  <c r="B1324" i="34" s="1"/>
  <c r="O1324" i="34" s="1"/>
  <c r="C1325" i="34"/>
  <c r="B1325" i="34" s="1"/>
  <c r="C1326" i="34"/>
  <c r="B1326" i="34"/>
  <c r="C1327" i="34"/>
  <c r="B1327" i="34" s="1"/>
  <c r="C1328" i="34"/>
  <c r="B1328" i="34" s="1"/>
  <c r="C1329" i="34"/>
  <c r="B1329" i="34" s="1"/>
  <c r="C1330" i="34"/>
  <c r="B1330" i="34" s="1"/>
  <c r="C1331" i="34"/>
  <c r="B1331" i="34" s="1"/>
  <c r="C1332" i="34"/>
  <c r="B1332" i="34" s="1"/>
  <c r="C1333" i="34"/>
  <c r="B1333" i="34" s="1"/>
  <c r="C1334" i="34"/>
  <c r="B1334" i="34" s="1"/>
  <c r="C1335" i="34"/>
  <c r="B1335" i="34" s="1"/>
  <c r="C1336" i="34"/>
  <c r="B1336" i="34"/>
  <c r="C1337" i="34"/>
  <c r="B1337" i="34"/>
  <c r="O1337" i="34" s="1"/>
  <c r="C1338" i="34"/>
  <c r="B1338" i="34" s="1"/>
  <c r="C1339" i="34"/>
  <c r="B1339" i="34" s="1"/>
  <c r="C1340" i="34"/>
  <c r="B1340" i="34" s="1"/>
  <c r="C1341" i="34"/>
  <c r="B1341" i="34" s="1"/>
  <c r="O1341" i="34" s="1"/>
  <c r="C1342" i="34"/>
  <c r="B1342" i="34" s="1"/>
  <c r="C1343" i="34"/>
  <c r="B1343" i="34" s="1"/>
  <c r="C1344" i="34"/>
  <c r="B1344" i="34"/>
  <c r="O1344" i="34" s="1"/>
  <c r="C1345" i="34"/>
  <c r="B1345" i="34" s="1"/>
  <c r="C1346" i="34"/>
  <c r="B1346" i="34" s="1"/>
  <c r="C1347" i="34"/>
  <c r="B1347" i="34" s="1"/>
  <c r="C1348" i="34"/>
  <c r="B1348" i="34" s="1"/>
  <c r="O1348" i="34" s="1"/>
  <c r="C1349" i="34"/>
  <c r="B1349" i="34" s="1"/>
  <c r="C1350" i="34"/>
  <c r="B1350" i="34" s="1"/>
  <c r="C1351" i="34"/>
  <c r="B1351" i="34" s="1"/>
  <c r="C1352" i="34"/>
  <c r="B1352" i="34" s="1"/>
  <c r="O1352" i="34" s="1"/>
  <c r="C1353" i="34"/>
  <c r="B1353" i="34"/>
  <c r="C1354" i="34"/>
  <c r="B1354" i="34" s="1"/>
  <c r="C1355" i="34"/>
  <c r="B1355" i="34" s="1"/>
  <c r="C1356" i="34"/>
  <c r="B1356" i="34" s="1"/>
  <c r="C1357" i="34"/>
  <c r="B1357" i="34" s="1"/>
  <c r="C1358" i="34"/>
  <c r="B1358" i="34" s="1"/>
  <c r="C1359" i="34"/>
  <c r="B1359" i="34" s="1"/>
  <c r="C1360" i="34"/>
  <c r="B1360" i="34"/>
  <c r="C1361" i="34"/>
  <c r="B1361" i="34"/>
  <c r="O1361" i="34" s="1"/>
  <c r="C1362" i="34"/>
  <c r="B1362" i="34" s="1"/>
  <c r="C1363" i="34"/>
  <c r="B1363" i="34" s="1"/>
  <c r="C1364" i="34"/>
  <c r="B1364" i="34"/>
  <c r="O1364" i="34" s="1"/>
  <c r="C1365" i="34"/>
  <c r="B1365" i="34"/>
  <c r="C1366" i="34"/>
  <c r="B1366" i="34" s="1"/>
  <c r="C1367" i="34"/>
  <c r="B1367" i="34" s="1"/>
  <c r="C1368" i="34"/>
  <c r="B1368" i="34"/>
  <c r="C1369" i="34"/>
  <c r="B1369" i="34"/>
  <c r="O1369" i="34" s="1"/>
  <c r="C1370" i="34"/>
  <c r="B1370" i="34" s="1"/>
  <c r="C1371" i="34"/>
  <c r="B1371" i="34" s="1"/>
  <c r="C1372" i="34"/>
  <c r="B1372" i="34"/>
  <c r="O1372" i="34" s="1"/>
  <c r="C1373" i="34"/>
  <c r="B1373" i="34"/>
  <c r="C1374" i="34"/>
  <c r="B1374" i="34" s="1"/>
  <c r="C1375" i="34"/>
  <c r="B1375" i="34" s="1"/>
  <c r="C1376" i="34"/>
  <c r="B1376" i="34" s="1"/>
  <c r="C1377" i="34"/>
  <c r="B1377" i="34" s="1"/>
  <c r="C1378" i="34"/>
  <c r="B1378" i="34" s="1"/>
  <c r="C1379" i="34"/>
  <c r="B1379" i="34" s="1"/>
  <c r="C1380" i="34"/>
  <c r="B1380" i="34"/>
  <c r="C1381" i="34"/>
  <c r="B1381" i="34" s="1"/>
  <c r="C1382" i="34"/>
  <c r="B1382" i="34" s="1"/>
  <c r="C1383" i="34"/>
  <c r="B1383" i="34" s="1"/>
  <c r="C1384" i="34"/>
  <c r="B1384" i="34" s="1"/>
  <c r="C1385" i="34"/>
  <c r="B1385" i="34" s="1"/>
  <c r="C1386" i="34"/>
  <c r="B1386" i="34" s="1"/>
  <c r="C1387" i="34"/>
  <c r="B1387" i="34" s="1"/>
  <c r="C1388" i="34"/>
  <c r="B1388" i="34" s="1"/>
  <c r="C1389" i="34"/>
  <c r="B1389" i="34"/>
  <c r="O1389" i="34" s="1"/>
  <c r="C1390" i="34"/>
  <c r="B1390" i="34" s="1"/>
  <c r="C1391" i="34"/>
  <c r="B1391" i="34" s="1"/>
  <c r="C1392" i="34"/>
  <c r="B1392" i="34" s="1"/>
  <c r="B1393" i="34"/>
  <c r="O1393" i="34" s="1"/>
  <c r="B1394" i="34"/>
  <c r="B1395" i="34"/>
  <c r="B1396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8" i="34"/>
  <c r="A39" i="34"/>
  <c r="A40" i="34"/>
  <c r="A41" i="34"/>
  <c r="A42" i="34"/>
  <c r="A43" i="34"/>
  <c r="A44" i="34"/>
  <c r="A45" i="34"/>
  <c r="A46" i="34"/>
  <c r="A47" i="34"/>
  <c r="A48" i="34"/>
  <c r="A50" i="34"/>
  <c r="A51" i="34"/>
  <c r="A52" i="34"/>
  <c r="A54" i="34"/>
  <c r="A55" i="34"/>
  <c r="A56" i="34"/>
  <c r="A57" i="34"/>
  <c r="A58" i="34"/>
  <c r="A59" i="34"/>
  <c r="A60" i="34"/>
  <c r="A62" i="34"/>
  <c r="A63" i="34"/>
  <c r="A64" i="34"/>
  <c r="A65" i="34"/>
  <c r="A66" i="34"/>
  <c r="A67" i="34"/>
  <c r="A68" i="34"/>
  <c r="A69" i="34"/>
  <c r="A70" i="34"/>
  <c r="A71" i="34"/>
  <c r="A72" i="34"/>
  <c r="A74" i="34"/>
  <c r="A75" i="34"/>
  <c r="A76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2" i="34"/>
  <c r="A263" i="34"/>
  <c r="A264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2" i="34"/>
  <c r="A303" i="34"/>
  <c r="A304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30" i="34"/>
  <c r="A331" i="34"/>
  <c r="A333" i="34"/>
  <c r="A334" i="34"/>
  <c r="A335" i="34"/>
  <c r="A336" i="34"/>
  <c r="A337" i="34"/>
  <c r="A338" i="34"/>
  <c r="A339" i="34"/>
  <c r="A340" i="34"/>
  <c r="A341" i="34"/>
  <c r="A343" i="34"/>
  <c r="A344" i="34"/>
  <c r="A345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4" i="34"/>
  <c r="A375" i="34"/>
  <c r="A376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2" i="34"/>
  <c r="A463" i="34"/>
  <c r="A464" i="34"/>
  <c r="A465" i="34"/>
  <c r="A466" i="34"/>
  <c r="A467" i="34"/>
  <c r="A468" i="34"/>
  <c r="A469" i="34"/>
  <c r="A470" i="34"/>
  <c r="A471" i="34"/>
  <c r="A472" i="34"/>
  <c r="A474" i="34"/>
  <c r="A475" i="34"/>
  <c r="A476" i="34"/>
  <c r="A477" i="34"/>
  <c r="A478" i="34"/>
  <c r="A479" i="34"/>
  <c r="A480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4" i="34"/>
  <c r="A515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7" i="34"/>
  <c r="A538" i="34"/>
  <c r="A539" i="34"/>
  <c r="A540" i="34"/>
  <c r="A541" i="34"/>
  <c r="A542" i="34"/>
  <c r="A543" i="34"/>
  <c r="A545" i="34"/>
  <c r="A547" i="34"/>
  <c r="A548" i="34"/>
  <c r="A549" i="34"/>
  <c r="A550" i="34"/>
  <c r="A551" i="34"/>
  <c r="A552" i="34"/>
  <c r="A553" i="34"/>
  <c r="A555" i="34"/>
  <c r="A556" i="34"/>
  <c r="A558" i="34"/>
  <c r="A559" i="34"/>
  <c r="A560" i="34"/>
  <c r="A561" i="34"/>
  <c r="A562" i="34"/>
  <c r="A563" i="34"/>
  <c r="A564" i="34"/>
  <c r="A565" i="34"/>
  <c r="A566" i="34"/>
  <c r="A567" i="34"/>
  <c r="A568" i="34"/>
  <c r="A570" i="34"/>
  <c r="A571" i="34"/>
  <c r="A572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9" i="34"/>
  <c r="A590" i="34"/>
  <c r="A592" i="34"/>
  <c r="A593" i="34"/>
  <c r="A594" i="34"/>
  <c r="A596" i="34"/>
  <c r="A597" i="34"/>
  <c r="A598" i="34"/>
  <c r="A599" i="34"/>
  <c r="A600" i="34"/>
  <c r="A602" i="34"/>
  <c r="A603" i="34"/>
  <c r="A604" i="34"/>
  <c r="A606" i="34"/>
  <c r="A607" i="34"/>
  <c r="A608" i="34"/>
  <c r="A609" i="34"/>
  <c r="A610" i="34"/>
  <c r="A611" i="34"/>
  <c r="A612" i="34"/>
  <c r="A613" i="34"/>
  <c r="A614" i="34"/>
  <c r="A616" i="34"/>
  <c r="A617" i="34"/>
  <c r="A618" i="34"/>
  <c r="A620" i="34"/>
  <c r="A621" i="34"/>
  <c r="A622" i="34"/>
  <c r="A624" i="34"/>
  <c r="A625" i="34"/>
  <c r="A626" i="34"/>
  <c r="A628" i="34"/>
  <c r="A629" i="34"/>
  <c r="A631" i="34"/>
  <c r="A632" i="34"/>
  <c r="A633" i="34"/>
  <c r="A635" i="34"/>
  <c r="A636" i="34"/>
  <c r="A637" i="34"/>
  <c r="A638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90" i="34"/>
  <c r="A691" i="34"/>
  <c r="A692" i="34"/>
  <c r="A694" i="34"/>
  <c r="A695" i="34"/>
  <c r="A696" i="34"/>
  <c r="A698" i="34"/>
  <c r="A699" i="34"/>
  <c r="A702" i="34"/>
  <c r="A703" i="34"/>
  <c r="A704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2" i="34"/>
  <c r="A723" i="34"/>
  <c r="A724" i="34"/>
  <c r="A726" i="34"/>
  <c r="A727" i="34"/>
  <c r="A728" i="34"/>
  <c r="A730" i="34"/>
  <c r="A731" i="34"/>
  <c r="A732" i="34"/>
  <c r="A734" i="34"/>
  <c r="A735" i="34"/>
  <c r="A736" i="34"/>
  <c r="A737" i="34"/>
  <c r="A738" i="34"/>
  <c r="A739" i="34"/>
  <c r="A740" i="34"/>
  <c r="A742" i="34"/>
  <c r="A743" i="34"/>
  <c r="A744" i="34"/>
  <c r="A746" i="34"/>
  <c r="A747" i="34"/>
  <c r="A748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6" i="34"/>
  <c r="A767" i="34"/>
  <c r="A768" i="34"/>
  <c r="A770" i="34"/>
  <c r="A771" i="34"/>
  <c r="A772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4" i="34"/>
  <c r="A815" i="34"/>
  <c r="A816" i="34"/>
  <c r="A818" i="34"/>
  <c r="A819" i="34"/>
  <c r="A820" i="34"/>
  <c r="A821" i="34"/>
  <c r="A822" i="34"/>
  <c r="A823" i="34"/>
  <c r="A825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3" i="34"/>
  <c r="A874" i="34"/>
  <c r="A875" i="34"/>
  <c r="A876" i="34"/>
  <c r="A877" i="34"/>
  <c r="A878" i="34"/>
  <c r="A879" i="34"/>
  <c r="A880" i="34"/>
  <c r="A881" i="34"/>
  <c r="A882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10" i="34"/>
  <c r="A1011" i="34"/>
  <c r="A1012" i="34"/>
  <c r="A1014" i="34"/>
  <c r="A1015" i="34"/>
  <c r="A1016" i="34"/>
  <c r="A1018" i="34"/>
  <c r="A1019" i="34"/>
  <c r="A1021" i="34"/>
  <c r="A1022" i="34"/>
  <c r="A1024" i="34"/>
  <c r="A1025" i="34"/>
  <c r="A1026" i="34"/>
  <c r="A1027" i="34"/>
  <c r="A1028" i="34"/>
  <c r="A1030" i="34"/>
  <c r="A1032" i="34"/>
  <c r="A1033" i="34"/>
  <c r="A1034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N14" i="34"/>
  <c r="N11" i="42"/>
  <c r="O11" i="42"/>
  <c r="O709" i="34" s="1"/>
  <c r="P14" i="34"/>
  <c r="Q14" i="34"/>
  <c r="S14" i="34"/>
  <c r="T14" i="34"/>
  <c r="V14" i="34"/>
  <c r="W14" i="34"/>
  <c r="X7" i="34"/>
  <c r="N15" i="34"/>
  <c r="P15" i="34"/>
  <c r="Q15" i="34"/>
  <c r="S15" i="34"/>
  <c r="T15" i="34"/>
  <c r="V15" i="34"/>
  <c r="W15" i="34"/>
  <c r="N16" i="34"/>
  <c r="P16" i="34"/>
  <c r="Q16" i="34"/>
  <c r="S16" i="34"/>
  <c r="T16" i="34"/>
  <c r="V16" i="34"/>
  <c r="W16" i="34"/>
  <c r="N17" i="34"/>
  <c r="P17" i="34"/>
  <c r="Q17" i="34"/>
  <c r="S17" i="34"/>
  <c r="T17" i="34"/>
  <c r="V17" i="34"/>
  <c r="W17" i="34"/>
  <c r="N18" i="34"/>
  <c r="P18" i="34"/>
  <c r="Q18" i="34"/>
  <c r="S18" i="34"/>
  <c r="T18" i="34"/>
  <c r="V18" i="34"/>
  <c r="W18" i="34"/>
  <c r="N19" i="34"/>
  <c r="P19" i="34"/>
  <c r="Q19" i="34"/>
  <c r="S19" i="34"/>
  <c r="T19" i="34"/>
  <c r="V19" i="34"/>
  <c r="W19" i="34"/>
  <c r="N20" i="34"/>
  <c r="P20" i="34"/>
  <c r="Q20" i="34"/>
  <c r="S20" i="34"/>
  <c r="T20" i="34"/>
  <c r="V20" i="34"/>
  <c r="W20" i="34"/>
  <c r="N21" i="34"/>
  <c r="P21" i="34"/>
  <c r="Q21" i="34"/>
  <c r="S21" i="34"/>
  <c r="T21" i="34"/>
  <c r="V21" i="34"/>
  <c r="W21" i="34"/>
  <c r="N22" i="34"/>
  <c r="P22" i="34"/>
  <c r="Q22" i="34"/>
  <c r="S22" i="34"/>
  <c r="T22" i="34"/>
  <c r="V22" i="34"/>
  <c r="W22" i="34"/>
  <c r="N23" i="34"/>
  <c r="P23" i="34"/>
  <c r="Q23" i="34"/>
  <c r="S23" i="34"/>
  <c r="T23" i="34"/>
  <c r="V23" i="34"/>
  <c r="W23" i="34"/>
  <c r="N24" i="34"/>
  <c r="P24" i="34"/>
  <c r="Q24" i="34"/>
  <c r="S24" i="34"/>
  <c r="T24" i="34"/>
  <c r="V24" i="34"/>
  <c r="W24" i="34"/>
  <c r="N25" i="34"/>
  <c r="P25" i="34"/>
  <c r="Q25" i="34"/>
  <c r="S25" i="34"/>
  <c r="T25" i="34"/>
  <c r="V25" i="34"/>
  <c r="W25" i="34"/>
  <c r="N26" i="34"/>
  <c r="P26" i="34"/>
  <c r="Q26" i="34"/>
  <c r="S26" i="34"/>
  <c r="T26" i="34"/>
  <c r="V26" i="34"/>
  <c r="W26" i="34"/>
  <c r="N27" i="34"/>
  <c r="P27" i="34"/>
  <c r="Q27" i="34"/>
  <c r="S27" i="34"/>
  <c r="T27" i="34"/>
  <c r="V27" i="34"/>
  <c r="W27" i="34"/>
  <c r="N28" i="34"/>
  <c r="P28" i="34"/>
  <c r="Q28" i="34"/>
  <c r="S28" i="34"/>
  <c r="T28" i="34"/>
  <c r="V28" i="34"/>
  <c r="W28" i="34"/>
  <c r="N29" i="34"/>
  <c r="P29" i="34"/>
  <c r="Q29" i="34"/>
  <c r="S29" i="34"/>
  <c r="T29" i="34"/>
  <c r="V29" i="34"/>
  <c r="W29" i="34"/>
  <c r="N30" i="34"/>
  <c r="P30" i="34"/>
  <c r="Q30" i="34"/>
  <c r="S30" i="34"/>
  <c r="T30" i="34"/>
  <c r="V30" i="34"/>
  <c r="W30" i="34"/>
  <c r="N31" i="34"/>
  <c r="P31" i="34"/>
  <c r="Q31" i="34"/>
  <c r="S31" i="34"/>
  <c r="T31" i="34"/>
  <c r="V31" i="34"/>
  <c r="W31" i="34"/>
  <c r="N32" i="34"/>
  <c r="P32" i="34"/>
  <c r="Q32" i="34"/>
  <c r="S32" i="34"/>
  <c r="T32" i="34"/>
  <c r="V32" i="34"/>
  <c r="W32" i="34"/>
  <c r="N33" i="34"/>
  <c r="P33" i="34"/>
  <c r="Q33" i="34"/>
  <c r="S33" i="34"/>
  <c r="T33" i="34"/>
  <c r="V33" i="34"/>
  <c r="W33" i="34"/>
  <c r="N34" i="34"/>
  <c r="P34" i="34"/>
  <c r="Q34" i="34"/>
  <c r="S34" i="34"/>
  <c r="T34" i="34"/>
  <c r="V34" i="34"/>
  <c r="W34" i="34"/>
  <c r="N35" i="34"/>
  <c r="P35" i="34"/>
  <c r="Q35" i="34"/>
  <c r="S35" i="34"/>
  <c r="T35" i="34"/>
  <c r="V35" i="34"/>
  <c r="W35" i="34"/>
  <c r="N36" i="34"/>
  <c r="P36" i="34"/>
  <c r="Q36" i="34"/>
  <c r="S36" i="34"/>
  <c r="T36" i="34"/>
  <c r="V36" i="34"/>
  <c r="W36" i="34"/>
  <c r="N37" i="34"/>
  <c r="P37" i="34"/>
  <c r="Q37" i="34"/>
  <c r="S37" i="34"/>
  <c r="T37" i="34"/>
  <c r="V37" i="34"/>
  <c r="W37" i="34"/>
  <c r="N38" i="34"/>
  <c r="P38" i="34"/>
  <c r="Q38" i="34"/>
  <c r="S38" i="34"/>
  <c r="T38" i="34"/>
  <c r="V38" i="34"/>
  <c r="W38" i="34"/>
  <c r="N39" i="34"/>
  <c r="P39" i="34"/>
  <c r="Q39" i="34"/>
  <c r="S39" i="34"/>
  <c r="T39" i="34"/>
  <c r="V39" i="34"/>
  <c r="W39" i="34"/>
  <c r="N40" i="34"/>
  <c r="P40" i="34"/>
  <c r="Q40" i="34"/>
  <c r="S40" i="34"/>
  <c r="T40" i="34"/>
  <c r="V40" i="34"/>
  <c r="W40" i="34"/>
  <c r="N41" i="34"/>
  <c r="P41" i="34"/>
  <c r="Q41" i="34"/>
  <c r="S41" i="34"/>
  <c r="T41" i="34"/>
  <c r="V41" i="34"/>
  <c r="W41" i="34"/>
  <c r="N42" i="34"/>
  <c r="P42" i="34"/>
  <c r="Q42" i="34"/>
  <c r="S42" i="34"/>
  <c r="T42" i="34"/>
  <c r="V42" i="34"/>
  <c r="W42" i="34"/>
  <c r="N43" i="34"/>
  <c r="P43" i="34"/>
  <c r="Q43" i="34"/>
  <c r="S43" i="34"/>
  <c r="T43" i="34"/>
  <c r="V43" i="34"/>
  <c r="W43" i="34"/>
  <c r="N44" i="34"/>
  <c r="P44" i="34"/>
  <c r="Q44" i="34"/>
  <c r="S44" i="34"/>
  <c r="T44" i="34"/>
  <c r="V44" i="34"/>
  <c r="W44" i="34"/>
  <c r="N45" i="34"/>
  <c r="P45" i="34"/>
  <c r="Q45" i="34"/>
  <c r="S45" i="34"/>
  <c r="T45" i="34"/>
  <c r="V45" i="34"/>
  <c r="W45" i="34"/>
  <c r="N46" i="34"/>
  <c r="P46" i="34"/>
  <c r="Q46" i="34"/>
  <c r="S46" i="34"/>
  <c r="T46" i="34"/>
  <c r="V46" i="34"/>
  <c r="W46" i="34"/>
  <c r="N47" i="34"/>
  <c r="P47" i="34"/>
  <c r="Q47" i="34"/>
  <c r="S47" i="34"/>
  <c r="T47" i="34"/>
  <c r="V47" i="34"/>
  <c r="W47" i="34"/>
  <c r="N48" i="34"/>
  <c r="P48" i="34"/>
  <c r="Q48" i="34"/>
  <c r="S48" i="34"/>
  <c r="T48" i="34"/>
  <c r="V48" i="34"/>
  <c r="W48" i="34"/>
  <c r="N49" i="34"/>
  <c r="P49" i="34"/>
  <c r="S49" i="34"/>
  <c r="T49" i="34"/>
  <c r="V49" i="34"/>
  <c r="W49" i="34"/>
  <c r="N50" i="34"/>
  <c r="P50" i="34"/>
  <c r="Q50" i="34"/>
  <c r="S50" i="34"/>
  <c r="T50" i="34"/>
  <c r="V50" i="34"/>
  <c r="W50" i="34"/>
  <c r="N51" i="34"/>
  <c r="P51" i="34"/>
  <c r="Q51" i="34"/>
  <c r="S51" i="34"/>
  <c r="T51" i="34"/>
  <c r="V51" i="34"/>
  <c r="W51" i="34"/>
  <c r="N52" i="34"/>
  <c r="P52" i="34"/>
  <c r="Q52" i="34"/>
  <c r="S52" i="34"/>
  <c r="T52" i="34"/>
  <c r="V52" i="34"/>
  <c r="W52" i="34"/>
  <c r="N53" i="34"/>
  <c r="S53" i="34"/>
  <c r="T53" i="34"/>
  <c r="V53" i="34"/>
  <c r="W53" i="34"/>
  <c r="N54" i="34"/>
  <c r="P54" i="34"/>
  <c r="Q54" i="34"/>
  <c r="S54" i="34"/>
  <c r="T54" i="34"/>
  <c r="V54" i="34"/>
  <c r="W54" i="34"/>
  <c r="N55" i="34"/>
  <c r="P55" i="34"/>
  <c r="Q55" i="34"/>
  <c r="S55" i="34"/>
  <c r="T55" i="34"/>
  <c r="V55" i="34"/>
  <c r="W55" i="34"/>
  <c r="N56" i="34"/>
  <c r="P56" i="34"/>
  <c r="Q56" i="34"/>
  <c r="S56" i="34"/>
  <c r="T56" i="34"/>
  <c r="V56" i="34"/>
  <c r="W56" i="34"/>
  <c r="N57" i="34"/>
  <c r="P57" i="34"/>
  <c r="Q57" i="34"/>
  <c r="S57" i="34"/>
  <c r="T57" i="34"/>
  <c r="V57" i="34"/>
  <c r="W57" i="34"/>
  <c r="N58" i="34"/>
  <c r="P58" i="34"/>
  <c r="Q58" i="34"/>
  <c r="S58" i="34"/>
  <c r="T58" i="34"/>
  <c r="V58" i="34"/>
  <c r="W58" i="34"/>
  <c r="N59" i="34"/>
  <c r="P59" i="34"/>
  <c r="Q59" i="34"/>
  <c r="S59" i="34"/>
  <c r="T59" i="34"/>
  <c r="V59" i="34"/>
  <c r="W59" i="34"/>
  <c r="N60" i="34"/>
  <c r="P60" i="34"/>
  <c r="Q60" i="34"/>
  <c r="S60" i="34"/>
  <c r="T60" i="34"/>
  <c r="V60" i="34"/>
  <c r="W60" i="34"/>
  <c r="N61" i="34"/>
  <c r="P61" i="34"/>
  <c r="S61" i="34"/>
  <c r="T61" i="34"/>
  <c r="V61" i="34"/>
  <c r="W61" i="34"/>
  <c r="N62" i="34"/>
  <c r="P62" i="34"/>
  <c r="Q62" i="34"/>
  <c r="S62" i="34"/>
  <c r="T62" i="34"/>
  <c r="V62" i="34"/>
  <c r="W62" i="34"/>
  <c r="N63" i="34"/>
  <c r="P63" i="34"/>
  <c r="Q63" i="34"/>
  <c r="S63" i="34"/>
  <c r="T63" i="34"/>
  <c r="V63" i="34"/>
  <c r="W63" i="34"/>
  <c r="N64" i="34"/>
  <c r="P64" i="34"/>
  <c r="Q64" i="34"/>
  <c r="S64" i="34"/>
  <c r="T64" i="34"/>
  <c r="V64" i="34"/>
  <c r="W64" i="34"/>
  <c r="N65" i="34"/>
  <c r="P65" i="34"/>
  <c r="Q65" i="34"/>
  <c r="S65" i="34"/>
  <c r="T65" i="34"/>
  <c r="V65" i="34"/>
  <c r="W65" i="34"/>
  <c r="N66" i="34"/>
  <c r="P66" i="34"/>
  <c r="Q66" i="34"/>
  <c r="S66" i="34"/>
  <c r="T66" i="34"/>
  <c r="V66" i="34"/>
  <c r="W66" i="34"/>
  <c r="N67" i="34"/>
  <c r="P67" i="34"/>
  <c r="Q67" i="34"/>
  <c r="S67" i="34"/>
  <c r="T67" i="34"/>
  <c r="V67" i="34"/>
  <c r="W67" i="34"/>
  <c r="N68" i="34"/>
  <c r="P68" i="34"/>
  <c r="Q68" i="34"/>
  <c r="S68" i="34"/>
  <c r="T68" i="34"/>
  <c r="V68" i="34"/>
  <c r="W68" i="34"/>
  <c r="N69" i="34"/>
  <c r="P69" i="34"/>
  <c r="Q69" i="34"/>
  <c r="S69" i="34"/>
  <c r="T69" i="34"/>
  <c r="V69" i="34"/>
  <c r="W69" i="34"/>
  <c r="N70" i="34"/>
  <c r="P70" i="34"/>
  <c r="Q70" i="34"/>
  <c r="S70" i="34"/>
  <c r="T70" i="34"/>
  <c r="V70" i="34"/>
  <c r="W70" i="34"/>
  <c r="N71" i="34"/>
  <c r="P71" i="34"/>
  <c r="Q71" i="34"/>
  <c r="S71" i="34"/>
  <c r="T71" i="34"/>
  <c r="V71" i="34"/>
  <c r="W71" i="34"/>
  <c r="N72" i="34"/>
  <c r="P72" i="34"/>
  <c r="Q72" i="34"/>
  <c r="S72" i="34"/>
  <c r="T72" i="34"/>
  <c r="V72" i="34"/>
  <c r="W72" i="34"/>
  <c r="N73" i="34"/>
  <c r="P73" i="34"/>
  <c r="Q73" i="34"/>
  <c r="S73" i="34"/>
  <c r="T73" i="34"/>
  <c r="V73" i="34"/>
  <c r="W73" i="34"/>
  <c r="N74" i="34"/>
  <c r="P74" i="34"/>
  <c r="Q74" i="34"/>
  <c r="S74" i="34"/>
  <c r="T74" i="34"/>
  <c r="V74" i="34"/>
  <c r="W74" i="34"/>
  <c r="N75" i="34"/>
  <c r="P75" i="34"/>
  <c r="Q75" i="34"/>
  <c r="S75" i="34"/>
  <c r="T75" i="34"/>
  <c r="V75" i="34"/>
  <c r="W75" i="34"/>
  <c r="N76" i="34"/>
  <c r="P76" i="34"/>
  <c r="Q76" i="34"/>
  <c r="S76" i="34"/>
  <c r="T76" i="34"/>
  <c r="V76" i="34"/>
  <c r="W76" i="34"/>
  <c r="N77" i="34"/>
  <c r="P77" i="34"/>
  <c r="Q77" i="34"/>
  <c r="S77" i="34"/>
  <c r="T77" i="34"/>
  <c r="V77" i="34"/>
  <c r="W77" i="34"/>
  <c r="N78" i="34"/>
  <c r="P78" i="34"/>
  <c r="Q78" i="34"/>
  <c r="S78" i="34"/>
  <c r="T78" i="34"/>
  <c r="V78" i="34"/>
  <c r="W78" i="34"/>
  <c r="N79" i="34"/>
  <c r="P79" i="34"/>
  <c r="Q79" i="34"/>
  <c r="S79" i="34"/>
  <c r="T79" i="34"/>
  <c r="V79" i="34"/>
  <c r="W79" i="34"/>
  <c r="N80" i="34"/>
  <c r="P80" i="34"/>
  <c r="Q80" i="34"/>
  <c r="S80" i="34"/>
  <c r="T80" i="34"/>
  <c r="V80" i="34"/>
  <c r="W80" i="34"/>
  <c r="N81" i="34"/>
  <c r="P81" i="34"/>
  <c r="Q81" i="34"/>
  <c r="S81" i="34"/>
  <c r="T81" i="34"/>
  <c r="V81" i="34"/>
  <c r="W81" i="34"/>
  <c r="N82" i="34"/>
  <c r="P82" i="34"/>
  <c r="Q82" i="34"/>
  <c r="S82" i="34"/>
  <c r="T82" i="34"/>
  <c r="V82" i="34"/>
  <c r="W82" i="34"/>
  <c r="N83" i="34"/>
  <c r="P83" i="34"/>
  <c r="Q83" i="34"/>
  <c r="S83" i="34"/>
  <c r="T83" i="34"/>
  <c r="V83" i="34"/>
  <c r="W83" i="34"/>
  <c r="N84" i="34"/>
  <c r="P84" i="34"/>
  <c r="Q84" i="34"/>
  <c r="S84" i="34"/>
  <c r="T84" i="34"/>
  <c r="V84" i="34"/>
  <c r="W84" i="34"/>
  <c r="N85" i="34"/>
  <c r="P85" i="34"/>
  <c r="Q85" i="34"/>
  <c r="S85" i="34"/>
  <c r="T85" i="34"/>
  <c r="V85" i="34"/>
  <c r="W85" i="34"/>
  <c r="N86" i="34"/>
  <c r="P86" i="34"/>
  <c r="Q86" i="34"/>
  <c r="S86" i="34"/>
  <c r="T86" i="34"/>
  <c r="V86" i="34"/>
  <c r="W86" i="34"/>
  <c r="N87" i="34"/>
  <c r="P87" i="34"/>
  <c r="Q87" i="34"/>
  <c r="S87" i="34"/>
  <c r="T87" i="34"/>
  <c r="V87" i="34"/>
  <c r="W87" i="34"/>
  <c r="N88" i="34"/>
  <c r="P88" i="34"/>
  <c r="Q88" i="34"/>
  <c r="S88" i="34"/>
  <c r="T88" i="34"/>
  <c r="V88" i="34"/>
  <c r="W88" i="34"/>
  <c r="N89" i="34"/>
  <c r="P89" i="34"/>
  <c r="Q89" i="34"/>
  <c r="S89" i="34"/>
  <c r="T89" i="34"/>
  <c r="V89" i="34"/>
  <c r="W89" i="34"/>
  <c r="N90" i="34"/>
  <c r="P90" i="34"/>
  <c r="Q90" i="34"/>
  <c r="S90" i="34"/>
  <c r="T90" i="34"/>
  <c r="V90" i="34"/>
  <c r="W90" i="34"/>
  <c r="N91" i="34"/>
  <c r="P91" i="34"/>
  <c r="Q91" i="34"/>
  <c r="S91" i="34"/>
  <c r="T91" i="34"/>
  <c r="V91" i="34"/>
  <c r="W91" i="34"/>
  <c r="N92" i="34"/>
  <c r="P92" i="34"/>
  <c r="Q92" i="34"/>
  <c r="S92" i="34"/>
  <c r="T92" i="34"/>
  <c r="V92" i="34"/>
  <c r="W92" i="34"/>
  <c r="N93" i="34"/>
  <c r="P93" i="34"/>
  <c r="Q93" i="34"/>
  <c r="S93" i="34"/>
  <c r="T93" i="34"/>
  <c r="V93" i="34"/>
  <c r="W93" i="34"/>
  <c r="N94" i="34"/>
  <c r="P94" i="34"/>
  <c r="Q94" i="34"/>
  <c r="S94" i="34"/>
  <c r="T94" i="34"/>
  <c r="V94" i="34"/>
  <c r="W94" i="34"/>
  <c r="N95" i="34"/>
  <c r="P95" i="34"/>
  <c r="Q95" i="34"/>
  <c r="S95" i="34"/>
  <c r="T95" i="34"/>
  <c r="V95" i="34"/>
  <c r="W95" i="34"/>
  <c r="N96" i="34"/>
  <c r="P96" i="34"/>
  <c r="Q96" i="34"/>
  <c r="S96" i="34"/>
  <c r="T96" i="34"/>
  <c r="V96" i="34"/>
  <c r="W96" i="34"/>
  <c r="N97" i="34"/>
  <c r="P97" i="34"/>
  <c r="Q97" i="34"/>
  <c r="S97" i="34"/>
  <c r="T97" i="34"/>
  <c r="V97" i="34"/>
  <c r="W97" i="34"/>
  <c r="N98" i="34"/>
  <c r="P98" i="34"/>
  <c r="Q98" i="34"/>
  <c r="S98" i="34"/>
  <c r="T98" i="34"/>
  <c r="V98" i="34"/>
  <c r="W98" i="34"/>
  <c r="N99" i="34"/>
  <c r="P99" i="34"/>
  <c r="Q99" i="34"/>
  <c r="S99" i="34"/>
  <c r="T99" i="34"/>
  <c r="V99" i="34"/>
  <c r="W99" i="34"/>
  <c r="N100" i="34"/>
  <c r="P100" i="34"/>
  <c r="Q100" i="34"/>
  <c r="S100" i="34"/>
  <c r="T100" i="34"/>
  <c r="V100" i="34"/>
  <c r="W100" i="34"/>
  <c r="N101" i="34"/>
  <c r="P101" i="34"/>
  <c r="Q101" i="34"/>
  <c r="S101" i="34"/>
  <c r="T101" i="34"/>
  <c r="V101" i="34"/>
  <c r="W101" i="34"/>
  <c r="N102" i="34"/>
  <c r="P102" i="34"/>
  <c r="Q102" i="34"/>
  <c r="S102" i="34"/>
  <c r="T102" i="34"/>
  <c r="V102" i="34"/>
  <c r="W102" i="34"/>
  <c r="N103" i="34"/>
  <c r="P103" i="34"/>
  <c r="Q103" i="34"/>
  <c r="S103" i="34"/>
  <c r="T103" i="34"/>
  <c r="V103" i="34"/>
  <c r="W103" i="34"/>
  <c r="N104" i="34"/>
  <c r="P104" i="34"/>
  <c r="Q104" i="34"/>
  <c r="S104" i="34"/>
  <c r="T104" i="34"/>
  <c r="V104" i="34"/>
  <c r="W104" i="34"/>
  <c r="N105" i="34"/>
  <c r="P105" i="34"/>
  <c r="Q105" i="34"/>
  <c r="S105" i="34"/>
  <c r="T105" i="34"/>
  <c r="V105" i="34"/>
  <c r="W105" i="34"/>
  <c r="N106" i="34"/>
  <c r="P106" i="34"/>
  <c r="Q106" i="34"/>
  <c r="S106" i="34"/>
  <c r="T106" i="34"/>
  <c r="V106" i="34"/>
  <c r="W106" i="34"/>
  <c r="N107" i="34"/>
  <c r="P107" i="34"/>
  <c r="Q107" i="34"/>
  <c r="S107" i="34"/>
  <c r="T107" i="34"/>
  <c r="V107" i="34"/>
  <c r="W107" i="34"/>
  <c r="N108" i="34"/>
  <c r="P108" i="34"/>
  <c r="Q108" i="34"/>
  <c r="S108" i="34"/>
  <c r="T108" i="34"/>
  <c r="V108" i="34"/>
  <c r="W108" i="34"/>
  <c r="N109" i="34"/>
  <c r="P109" i="34"/>
  <c r="Q109" i="34"/>
  <c r="S109" i="34"/>
  <c r="T109" i="34"/>
  <c r="V109" i="34"/>
  <c r="W109" i="34"/>
  <c r="N110" i="34"/>
  <c r="P110" i="34"/>
  <c r="Q110" i="34"/>
  <c r="S110" i="34"/>
  <c r="T110" i="34"/>
  <c r="V110" i="34"/>
  <c r="W110" i="34"/>
  <c r="N111" i="34"/>
  <c r="P111" i="34"/>
  <c r="Q111" i="34"/>
  <c r="S111" i="34"/>
  <c r="T111" i="34"/>
  <c r="V111" i="34"/>
  <c r="W111" i="34"/>
  <c r="N112" i="34"/>
  <c r="P112" i="34"/>
  <c r="Q112" i="34"/>
  <c r="S112" i="34"/>
  <c r="T112" i="34"/>
  <c r="V112" i="34"/>
  <c r="W112" i="34"/>
  <c r="N113" i="34"/>
  <c r="P113" i="34"/>
  <c r="Q113" i="34"/>
  <c r="S113" i="34"/>
  <c r="T113" i="34"/>
  <c r="V113" i="34"/>
  <c r="W113" i="34"/>
  <c r="N114" i="34"/>
  <c r="P114" i="34"/>
  <c r="Q114" i="34"/>
  <c r="S114" i="34"/>
  <c r="T114" i="34"/>
  <c r="V114" i="34"/>
  <c r="W114" i="34"/>
  <c r="N115" i="34"/>
  <c r="P115" i="34"/>
  <c r="Q115" i="34"/>
  <c r="S115" i="34"/>
  <c r="T115" i="34"/>
  <c r="V115" i="34"/>
  <c r="W115" i="34"/>
  <c r="N116" i="34"/>
  <c r="P116" i="34"/>
  <c r="Q116" i="34"/>
  <c r="S116" i="34"/>
  <c r="T116" i="34"/>
  <c r="V116" i="34"/>
  <c r="W116" i="34"/>
  <c r="N117" i="34"/>
  <c r="P117" i="34"/>
  <c r="Q117" i="34"/>
  <c r="S117" i="34"/>
  <c r="T117" i="34"/>
  <c r="V117" i="34"/>
  <c r="W117" i="34"/>
  <c r="N118" i="34"/>
  <c r="P118" i="34"/>
  <c r="Q118" i="34"/>
  <c r="S118" i="34"/>
  <c r="T118" i="34"/>
  <c r="V118" i="34"/>
  <c r="W118" i="34"/>
  <c r="N119" i="34"/>
  <c r="P119" i="34"/>
  <c r="Q119" i="34"/>
  <c r="S119" i="34"/>
  <c r="T119" i="34"/>
  <c r="V119" i="34"/>
  <c r="W119" i="34"/>
  <c r="N120" i="34"/>
  <c r="P120" i="34"/>
  <c r="Q120" i="34"/>
  <c r="S120" i="34"/>
  <c r="T120" i="34"/>
  <c r="V120" i="34"/>
  <c r="W120" i="34"/>
  <c r="N121" i="34"/>
  <c r="P121" i="34"/>
  <c r="Q121" i="34"/>
  <c r="S121" i="34"/>
  <c r="T121" i="34"/>
  <c r="V121" i="34"/>
  <c r="W121" i="34"/>
  <c r="N122" i="34"/>
  <c r="P122" i="34"/>
  <c r="Q122" i="34"/>
  <c r="S122" i="34"/>
  <c r="T122" i="34"/>
  <c r="V122" i="34"/>
  <c r="W122" i="34"/>
  <c r="N123" i="34"/>
  <c r="P123" i="34"/>
  <c r="Q123" i="34"/>
  <c r="S123" i="34"/>
  <c r="T123" i="34"/>
  <c r="V123" i="34"/>
  <c r="W123" i="34"/>
  <c r="N124" i="34"/>
  <c r="P124" i="34"/>
  <c r="Q124" i="34"/>
  <c r="S124" i="34"/>
  <c r="T124" i="34"/>
  <c r="V124" i="34"/>
  <c r="W124" i="34"/>
  <c r="N125" i="34"/>
  <c r="P125" i="34"/>
  <c r="Q125" i="34"/>
  <c r="S125" i="34"/>
  <c r="T125" i="34"/>
  <c r="V125" i="34"/>
  <c r="W125" i="34"/>
  <c r="N126" i="34"/>
  <c r="P126" i="34"/>
  <c r="Q126" i="34"/>
  <c r="S126" i="34"/>
  <c r="T126" i="34"/>
  <c r="V126" i="34"/>
  <c r="W126" i="34"/>
  <c r="N127" i="34"/>
  <c r="P127" i="34"/>
  <c r="Q127" i="34"/>
  <c r="S127" i="34"/>
  <c r="T127" i="34"/>
  <c r="V127" i="34"/>
  <c r="W127" i="34"/>
  <c r="N128" i="34"/>
  <c r="P128" i="34"/>
  <c r="Q128" i="34"/>
  <c r="S128" i="34"/>
  <c r="T128" i="34"/>
  <c r="V128" i="34"/>
  <c r="W128" i="34"/>
  <c r="N129" i="34"/>
  <c r="P129" i="34"/>
  <c r="Q129" i="34"/>
  <c r="S129" i="34"/>
  <c r="T129" i="34"/>
  <c r="V129" i="34"/>
  <c r="W129" i="34"/>
  <c r="N130" i="34"/>
  <c r="P130" i="34"/>
  <c r="Q130" i="34"/>
  <c r="S130" i="34"/>
  <c r="T130" i="34"/>
  <c r="V130" i="34"/>
  <c r="W130" i="34"/>
  <c r="N131" i="34"/>
  <c r="P131" i="34"/>
  <c r="Q131" i="34"/>
  <c r="S131" i="34"/>
  <c r="T131" i="34"/>
  <c r="V131" i="34"/>
  <c r="W131" i="34"/>
  <c r="N132" i="34"/>
  <c r="P132" i="34"/>
  <c r="Q132" i="34"/>
  <c r="S132" i="34"/>
  <c r="T132" i="34"/>
  <c r="F132" i="34"/>
  <c r="W132" i="34" s="1"/>
  <c r="X132" i="34"/>
  <c r="N133" i="34"/>
  <c r="P133" i="34"/>
  <c r="Q133" i="34"/>
  <c r="S133" i="34"/>
  <c r="T133" i="34"/>
  <c r="V133" i="34"/>
  <c r="W133" i="34"/>
  <c r="X133" i="34"/>
  <c r="N134" i="34"/>
  <c r="P134" i="34"/>
  <c r="Q134" i="34"/>
  <c r="S134" i="34"/>
  <c r="T134" i="34"/>
  <c r="V134" i="34"/>
  <c r="W134" i="34"/>
  <c r="X134" i="34"/>
  <c r="N135" i="34"/>
  <c r="P135" i="34"/>
  <c r="Q135" i="34"/>
  <c r="S135" i="34"/>
  <c r="T135" i="34"/>
  <c r="V135" i="34"/>
  <c r="W135" i="34"/>
  <c r="X135" i="34"/>
  <c r="N136" i="34"/>
  <c r="P136" i="34"/>
  <c r="Q136" i="34"/>
  <c r="S136" i="34"/>
  <c r="T136" i="34"/>
  <c r="V136" i="34"/>
  <c r="W136" i="34"/>
  <c r="X136" i="34"/>
  <c r="N137" i="34"/>
  <c r="P137" i="34"/>
  <c r="Q137" i="34"/>
  <c r="S137" i="34"/>
  <c r="T137" i="34"/>
  <c r="V137" i="34"/>
  <c r="W137" i="34"/>
  <c r="X137" i="34"/>
  <c r="N138" i="34"/>
  <c r="P138" i="34"/>
  <c r="Q138" i="34"/>
  <c r="S138" i="34"/>
  <c r="T138" i="34"/>
  <c r="V138" i="34"/>
  <c r="W138" i="34"/>
  <c r="X138" i="34"/>
  <c r="N139" i="34"/>
  <c r="P139" i="34"/>
  <c r="Q139" i="34"/>
  <c r="S139" i="34"/>
  <c r="T139" i="34"/>
  <c r="V139" i="34"/>
  <c r="W139" i="34"/>
  <c r="X139" i="34"/>
  <c r="N140" i="34"/>
  <c r="P140" i="34"/>
  <c r="Q140" i="34"/>
  <c r="S140" i="34"/>
  <c r="T140" i="34"/>
  <c r="V140" i="34"/>
  <c r="W140" i="34"/>
  <c r="X140" i="34"/>
  <c r="N141" i="34"/>
  <c r="P141" i="34"/>
  <c r="Q141" i="34"/>
  <c r="S141" i="34"/>
  <c r="T141" i="34"/>
  <c r="V141" i="34"/>
  <c r="W141" i="34"/>
  <c r="X141" i="34"/>
  <c r="N142" i="34"/>
  <c r="P142" i="34"/>
  <c r="Q142" i="34"/>
  <c r="S142" i="34"/>
  <c r="T142" i="34"/>
  <c r="V142" i="34"/>
  <c r="W142" i="34"/>
  <c r="X142" i="34"/>
  <c r="N143" i="34"/>
  <c r="P143" i="34"/>
  <c r="Q143" i="34"/>
  <c r="S143" i="34"/>
  <c r="T143" i="34"/>
  <c r="V143" i="34"/>
  <c r="W143" i="34"/>
  <c r="X143" i="34"/>
  <c r="N144" i="34"/>
  <c r="P144" i="34"/>
  <c r="Q144" i="34"/>
  <c r="S144" i="34"/>
  <c r="T144" i="34"/>
  <c r="V144" i="34"/>
  <c r="W144" i="34"/>
  <c r="X144" i="34"/>
  <c r="N145" i="34"/>
  <c r="P145" i="34"/>
  <c r="Q145" i="34"/>
  <c r="S145" i="34"/>
  <c r="T145" i="34"/>
  <c r="V145" i="34"/>
  <c r="W145" i="34"/>
  <c r="X145" i="34"/>
  <c r="N146" i="34"/>
  <c r="P146" i="34"/>
  <c r="Q146" i="34"/>
  <c r="S146" i="34"/>
  <c r="T146" i="34"/>
  <c r="V146" i="34"/>
  <c r="W146" i="34"/>
  <c r="X146" i="34"/>
  <c r="N147" i="34"/>
  <c r="P147" i="34"/>
  <c r="Q147" i="34"/>
  <c r="S147" i="34"/>
  <c r="T147" i="34"/>
  <c r="V147" i="34"/>
  <c r="W147" i="34"/>
  <c r="X147" i="34"/>
  <c r="N148" i="34"/>
  <c r="P148" i="34"/>
  <c r="Q148" i="34"/>
  <c r="S148" i="34"/>
  <c r="T148" i="34"/>
  <c r="V148" i="34"/>
  <c r="W148" i="34"/>
  <c r="X148" i="34"/>
  <c r="N149" i="34"/>
  <c r="P149" i="34"/>
  <c r="Q149" i="34"/>
  <c r="S149" i="34"/>
  <c r="T149" i="34"/>
  <c r="V149" i="34"/>
  <c r="W149" i="34"/>
  <c r="X149" i="34"/>
  <c r="N150" i="34"/>
  <c r="P150" i="34"/>
  <c r="Q150" i="34"/>
  <c r="S150" i="34"/>
  <c r="T150" i="34"/>
  <c r="V150" i="34"/>
  <c r="W150" i="34"/>
  <c r="X150" i="34"/>
  <c r="N151" i="34"/>
  <c r="P151" i="34"/>
  <c r="Q151" i="34"/>
  <c r="S151" i="34"/>
  <c r="T151" i="34"/>
  <c r="V151" i="34"/>
  <c r="W151" i="34"/>
  <c r="X151" i="34"/>
  <c r="N152" i="34"/>
  <c r="P152" i="34"/>
  <c r="Q152" i="34"/>
  <c r="S152" i="34"/>
  <c r="T152" i="34"/>
  <c r="V152" i="34"/>
  <c r="W152" i="34"/>
  <c r="X152" i="34"/>
  <c r="N153" i="34"/>
  <c r="P153" i="34"/>
  <c r="Q153" i="34"/>
  <c r="S153" i="34"/>
  <c r="T153" i="34"/>
  <c r="V153" i="34"/>
  <c r="W153" i="34"/>
  <c r="X153" i="34"/>
  <c r="N154" i="34"/>
  <c r="P154" i="34"/>
  <c r="Q154" i="34"/>
  <c r="S154" i="34"/>
  <c r="T154" i="34"/>
  <c r="V154" i="34"/>
  <c r="W154" i="34"/>
  <c r="X154" i="34"/>
  <c r="N155" i="34"/>
  <c r="P155" i="34"/>
  <c r="Q155" i="34"/>
  <c r="S155" i="34"/>
  <c r="T155" i="34"/>
  <c r="V155" i="34"/>
  <c r="W155" i="34"/>
  <c r="X155" i="34"/>
  <c r="N156" i="34"/>
  <c r="P156" i="34"/>
  <c r="Q156" i="34"/>
  <c r="S156" i="34"/>
  <c r="T156" i="34"/>
  <c r="V156" i="34"/>
  <c r="W156" i="34"/>
  <c r="X156" i="34"/>
  <c r="N157" i="34"/>
  <c r="P157" i="34"/>
  <c r="Q157" i="34"/>
  <c r="S157" i="34"/>
  <c r="T157" i="34"/>
  <c r="V157" i="34"/>
  <c r="W157" i="34"/>
  <c r="X157" i="34"/>
  <c r="N158" i="34"/>
  <c r="P158" i="34"/>
  <c r="Q158" i="34"/>
  <c r="S158" i="34"/>
  <c r="T158" i="34"/>
  <c r="V158" i="34"/>
  <c r="W158" i="34"/>
  <c r="X158" i="34"/>
  <c r="N159" i="34"/>
  <c r="P159" i="34"/>
  <c r="Q159" i="34"/>
  <c r="S159" i="34"/>
  <c r="T159" i="34"/>
  <c r="V159" i="34"/>
  <c r="W159" i="34"/>
  <c r="X159" i="34"/>
  <c r="N160" i="34"/>
  <c r="P160" i="34"/>
  <c r="Q160" i="34"/>
  <c r="S160" i="34"/>
  <c r="T160" i="34"/>
  <c r="V160" i="34"/>
  <c r="W160" i="34"/>
  <c r="X160" i="34"/>
  <c r="N161" i="34"/>
  <c r="P161" i="34"/>
  <c r="Q161" i="34"/>
  <c r="S161" i="34"/>
  <c r="T161" i="34"/>
  <c r="V161" i="34"/>
  <c r="W161" i="34"/>
  <c r="X161" i="34"/>
  <c r="N162" i="34"/>
  <c r="P162" i="34"/>
  <c r="Q162" i="34"/>
  <c r="S162" i="34"/>
  <c r="T162" i="34"/>
  <c r="V162" i="34"/>
  <c r="W162" i="34"/>
  <c r="X162" i="34"/>
  <c r="N163" i="34"/>
  <c r="P163" i="34"/>
  <c r="Q163" i="34"/>
  <c r="S163" i="34"/>
  <c r="T163" i="34"/>
  <c r="V163" i="34"/>
  <c r="W163" i="34"/>
  <c r="X163" i="34"/>
  <c r="N164" i="34"/>
  <c r="P164" i="34"/>
  <c r="Q164" i="34"/>
  <c r="S164" i="34"/>
  <c r="T164" i="34"/>
  <c r="V164" i="34"/>
  <c r="W164" i="34"/>
  <c r="X164" i="34"/>
  <c r="N165" i="34"/>
  <c r="P165" i="34"/>
  <c r="Q165" i="34"/>
  <c r="S165" i="34"/>
  <c r="T165" i="34"/>
  <c r="V165" i="34"/>
  <c r="W165" i="34"/>
  <c r="X165" i="34"/>
  <c r="N166" i="34"/>
  <c r="P166" i="34"/>
  <c r="Q166" i="34"/>
  <c r="S166" i="34"/>
  <c r="T166" i="34"/>
  <c r="V166" i="34"/>
  <c r="W166" i="34"/>
  <c r="X166" i="34"/>
  <c r="N167" i="34"/>
  <c r="P167" i="34"/>
  <c r="Q167" i="34"/>
  <c r="S167" i="34"/>
  <c r="T167" i="34"/>
  <c r="V167" i="34"/>
  <c r="W167" i="34"/>
  <c r="X167" i="34"/>
  <c r="N168" i="34"/>
  <c r="P168" i="34"/>
  <c r="Q168" i="34"/>
  <c r="S168" i="34"/>
  <c r="T168" i="34"/>
  <c r="V168" i="34"/>
  <c r="W168" i="34"/>
  <c r="X168" i="34"/>
  <c r="N169" i="34"/>
  <c r="P169" i="34"/>
  <c r="Q169" i="34"/>
  <c r="S169" i="34"/>
  <c r="T169" i="34"/>
  <c r="V169" i="34"/>
  <c r="W169" i="34"/>
  <c r="X169" i="34"/>
  <c r="N170" i="34"/>
  <c r="P170" i="34"/>
  <c r="Q170" i="34"/>
  <c r="S170" i="34"/>
  <c r="T170" i="34"/>
  <c r="V170" i="34"/>
  <c r="W170" i="34"/>
  <c r="X170" i="34"/>
  <c r="N171" i="34"/>
  <c r="P171" i="34"/>
  <c r="Q171" i="34"/>
  <c r="S171" i="34"/>
  <c r="T171" i="34"/>
  <c r="V171" i="34"/>
  <c r="W171" i="34"/>
  <c r="X171" i="34"/>
  <c r="N172" i="34"/>
  <c r="P172" i="34"/>
  <c r="Q172" i="34"/>
  <c r="S172" i="34"/>
  <c r="T172" i="34"/>
  <c r="V172" i="34"/>
  <c r="W172" i="34"/>
  <c r="X172" i="34"/>
  <c r="N173" i="34"/>
  <c r="P173" i="34"/>
  <c r="Q173" i="34"/>
  <c r="S173" i="34"/>
  <c r="T173" i="34"/>
  <c r="V173" i="34"/>
  <c r="W173" i="34"/>
  <c r="X173" i="34"/>
  <c r="N174" i="34"/>
  <c r="P174" i="34"/>
  <c r="Q174" i="34"/>
  <c r="S174" i="34"/>
  <c r="T174" i="34"/>
  <c r="V174" i="34"/>
  <c r="W174" i="34"/>
  <c r="X174" i="34"/>
  <c r="N175" i="34"/>
  <c r="P175" i="34"/>
  <c r="Q175" i="34"/>
  <c r="S175" i="34"/>
  <c r="T175" i="34"/>
  <c r="V175" i="34"/>
  <c r="W175" i="34"/>
  <c r="X175" i="34"/>
  <c r="N176" i="34"/>
  <c r="P176" i="34"/>
  <c r="Q176" i="34"/>
  <c r="S176" i="34"/>
  <c r="T176" i="34"/>
  <c r="V176" i="34"/>
  <c r="W176" i="34"/>
  <c r="X176" i="34"/>
  <c r="N177" i="34"/>
  <c r="P177" i="34"/>
  <c r="Q177" i="34"/>
  <c r="S177" i="34"/>
  <c r="T177" i="34"/>
  <c r="V177" i="34"/>
  <c r="W177" i="34"/>
  <c r="X177" i="34"/>
  <c r="N178" i="34"/>
  <c r="P178" i="34"/>
  <c r="Q178" i="34"/>
  <c r="S178" i="34"/>
  <c r="T178" i="34"/>
  <c r="V178" i="34"/>
  <c r="W178" i="34"/>
  <c r="X178" i="34"/>
  <c r="N179" i="34"/>
  <c r="P179" i="34"/>
  <c r="Q179" i="34"/>
  <c r="S179" i="34"/>
  <c r="T179" i="34"/>
  <c r="V179" i="34"/>
  <c r="W179" i="34"/>
  <c r="X179" i="34"/>
  <c r="N180" i="34"/>
  <c r="P180" i="34"/>
  <c r="Q180" i="34"/>
  <c r="S180" i="34"/>
  <c r="T180" i="34"/>
  <c r="V180" i="34"/>
  <c r="W180" i="34"/>
  <c r="X180" i="34"/>
  <c r="N181" i="34"/>
  <c r="P181" i="34"/>
  <c r="Q181" i="34"/>
  <c r="S181" i="34"/>
  <c r="T181" i="34"/>
  <c r="V181" i="34"/>
  <c r="W181" i="34"/>
  <c r="X181" i="34"/>
  <c r="N182" i="34"/>
  <c r="P182" i="34"/>
  <c r="Q182" i="34"/>
  <c r="S182" i="34"/>
  <c r="T182" i="34"/>
  <c r="V182" i="34"/>
  <c r="W182" i="34"/>
  <c r="X182" i="34"/>
  <c r="N183" i="34"/>
  <c r="P183" i="34"/>
  <c r="Q183" i="34"/>
  <c r="S183" i="34"/>
  <c r="T183" i="34"/>
  <c r="V183" i="34"/>
  <c r="W183" i="34"/>
  <c r="X183" i="34"/>
  <c r="N184" i="34"/>
  <c r="P184" i="34"/>
  <c r="Q184" i="34"/>
  <c r="S184" i="34"/>
  <c r="T184" i="34"/>
  <c r="V184" i="34"/>
  <c r="W184" i="34"/>
  <c r="X184" i="34"/>
  <c r="N185" i="34"/>
  <c r="P185" i="34"/>
  <c r="Q185" i="34"/>
  <c r="S185" i="34"/>
  <c r="T185" i="34"/>
  <c r="V185" i="34"/>
  <c r="W185" i="34"/>
  <c r="X185" i="34"/>
  <c r="N186" i="34"/>
  <c r="P186" i="34"/>
  <c r="Q186" i="34"/>
  <c r="S186" i="34"/>
  <c r="T186" i="34"/>
  <c r="V186" i="34"/>
  <c r="W186" i="34"/>
  <c r="X186" i="34"/>
  <c r="N187" i="34"/>
  <c r="P187" i="34"/>
  <c r="Q187" i="34"/>
  <c r="S187" i="34"/>
  <c r="T187" i="34"/>
  <c r="V187" i="34"/>
  <c r="W187" i="34"/>
  <c r="X187" i="34"/>
  <c r="N188" i="34"/>
  <c r="P188" i="34"/>
  <c r="Q188" i="34"/>
  <c r="S188" i="34"/>
  <c r="T188" i="34"/>
  <c r="V188" i="34"/>
  <c r="W188" i="34"/>
  <c r="X188" i="34"/>
  <c r="N189" i="34"/>
  <c r="P189" i="34"/>
  <c r="Q189" i="34"/>
  <c r="S189" i="34"/>
  <c r="T189" i="34"/>
  <c r="V189" i="34"/>
  <c r="W189" i="34"/>
  <c r="X189" i="34"/>
  <c r="N190" i="34"/>
  <c r="P190" i="34"/>
  <c r="Q190" i="34"/>
  <c r="S190" i="34"/>
  <c r="T190" i="34"/>
  <c r="V190" i="34"/>
  <c r="W190" i="34"/>
  <c r="X190" i="34"/>
  <c r="N838" i="34"/>
  <c r="P838" i="34"/>
  <c r="Q838" i="34"/>
  <c r="S838" i="34"/>
  <c r="T838" i="34"/>
  <c r="V838" i="34"/>
  <c r="W838" i="34"/>
  <c r="X838" i="34"/>
  <c r="N191" i="34"/>
  <c r="P191" i="34"/>
  <c r="Q191" i="34"/>
  <c r="S191" i="34"/>
  <c r="T191" i="34"/>
  <c r="V191" i="34"/>
  <c r="W191" i="34"/>
  <c r="X191" i="34"/>
  <c r="N192" i="34"/>
  <c r="P192" i="34"/>
  <c r="Q192" i="34"/>
  <c r="S192" i="34"/>
  <c r="T192" i="34"/>
  <c r="V192" i="34"/>
  <c r="W192" i="34"/>
  <c r="X192" i="34"/>
  <c r="N193" i="34"/>
  <c r="P193" i="34"/>
  <c r="Q193" i="34"/>
  <c r="S193" i="34"/>
  <c r="T193" i="34"/>
  <c r="V193" i="34"/>
  <c r="W193" i="34"/>
  <c r="X193" i="34"/>
  <c r="N194" i="34"/>
  <c r="P194" i="34"/>
  <c r="Q194" i="34"/>
  <c r="S194" i="34"/>
  <c r="T194" i="34"/>
  <c r="V194" i="34"/>
  <c r="W194" i="34"/>
  <c r="X194" i="34"/>
  <c r="N195" i="34"/>
  <c r="P195" i="34"/>
  <c r="Q195" i="34"/>
  <c r="S195" i="34"/>
  <c r="T195" i="34"/>
  <c r="V195" i="34"/>
  <c r="W195" i="34"/>
  <c r="X195" i="34"/>
  <c r="N196" i="34"/>
  <c r="P196" i="34"/>
  <c r="Q196" i="34"/>
  <c r="S196" i="34"/>
  <c r="T196" i="34"/>
  <c r="V196" i="34"/>
  <c r="W196" i="34"/>
  <c r="X196" i="34"/>
  <c r="N197" i="34"/>
  <c r="P197" i="34"/>
  <c r="Q197" i="34"/>
  <c r="S197" i="34"/>
  <c r="T197" i="34"/>
  <c r="V197" i="34"/>
  <c r="W197" i="34"/>
  <c r="X197" i="34"/>
  <c r="N198" i="34"/>
  <c r="P198" i="34"/>
  <c r="Q198" i="34"/>
  <c r="S198" i="34"/>
  <c r="T198" i="34"/>
  <c r="V198" i="34"/>
  <c r="W198" i="34"/>
  <c r="X198" i="34"/>
  <c r="N199" i="34"/>
  <c r="P199" i="34"/>
  <c r="Q199" i="34"/>
  <c r="S199" i="34"/>
  <c r="T199" i="34"/>
  <c r="V199" i="34"/>
  <c r="W199" i="34"/>
  <c r="X199" i="34"/>
  <c r="N200" i="34"/>
  <c r="P200" i="34"/>
  <c r="Q200" i="34"/>
  <c r="S200" i="34"/>
  <c r="T200" i="34"/>
  <c r="V200" i="34"/>
  <c r="W200" i="34"/>
  <c r="X200" i="34"/>
  <c r="N201" i="34"/>
  <c r="P201" i="34"/>
  <c r="Q201" i="34"/>
  <c r="S201" i="34"/>
  <c r="T201" i="34"/>
  <c r="V201" i="34"/>
  <c r="W201" i="34"/>
  <c r="X201" i="34"/>
  <c r="N202" i="34"/>
  <c r="P202" i="34"/>
  <c r="Q202" i="34"/>
  <c r="S202" i="34"/>
  <c r="T202" i="34"/>
  <c r="V202" i="34"/>
  <c r="W202" i="34"/>
  <c r="X202" i="34"/>
  <c r="N203" i="34"/>
  <c r="P203" i="34"/>
  <c r="Q203" i="34"/>
  <c r="S203" i="34"/>
  <c r="T203" i="34"/>
  <c r="V203" i="34"/>
  <c r="W203" i="34"/>
  <c r="X203" i="34"/>
  <c r="N204" i="34"/>
  <c r="P204" i="34"/>
  <c r="Q204" i="34"/>
  <c r="S204" i="34"/>
  <c r="T204" i="34"/>
  <c r="V204" i="34"/>
  <c r="W204" i="34"/>
  <c r="X204" i="34"/>
  <c r="N205" i="34"/>
  <c r="P205" i="34"/>
  <c r="Q205" i="34"/>
  <c r="S205" i="34"/>
  <c r="T205" i="34"/>
  <c r="V205" i="34"/>
  <c r="W205" i="34"/>
  <c r="X205" i="34"/>
  <c r="N206" i="34"/>
  <c r="P206" i="34"/>
  <c r="Q206" i="34"/>
  <c r="S206" i="34"/>
  <c r="T206" i="34"/>
  <c r="V206" i="34"/>
  <c r="W206" i="34"/>
  <c r="X206" i="34"/>
  <c r="N207" i="34"/>
  <c r="P207" i="34"/>
  <c r="Q207" i="34"/>
  <c r="S207" i="34"/>
  <c r="T207" i="34"/>
  <c r="V207" i="34"/>
  <c r="W207" i="34"/>
  <c r="X207" i="34"/>
  <c r="N839" i="34"/>
  <c r="P839" i="34"/>
  <c r="Q839" i="34"/>
  <c r="S839" i="34"/>
  <c r="T839" i="34"/>
  <c r="V839" i="34"/>
  <c r="W839" i="34"/>
  <c r="X839" i="34"/>
  <c r="N208" i="34"/>
  <c r="P208" i="34"/>
  <c r="Q208" i="34"/>
  <c r="S208" i="34"/>
  <c r="T208" i="34"/>
  <c r="V208" i="34"/>
  <c r="W208" i="34"/>
  <c r="X208" i="34"/>
  <c r="N209" i="34"/>
  <c r="P209" i="34"/>
  <c r="Q209" i="34"/>
  <c r="S209" i="34"/>
  <c r="T209" i="34"/>
  <c r="V209" i="34"/>
  <c r="W209" i="34"/>
  <c r="X209" i="34"/>
  <c r="N210" i="34"/>
  <c r="P210" i="34"/>
  <c r="Q210" i="34"/>
  <c r="S210" i="34"/>
  <c r="T210" i="34"/>
  <c r="V210" i="34"/>
  <c r="W210" i="34"/>
  <c r="X210" i="34"/>
  <c r="N211" i="34"/>
  <c r="P211" i="34"/>
  <c r="Q211" i="34"/>
  <c r="S211" i="34"/>
  <c r="T211" i="34"/>
  <c r="V211" i="34"/>
  <c r="W211" i="34"/>
  <c r="X211" i="34"/>
  <c r="N212" i="34"/>
  <c r="P212" i="34"/>
  <c r="Q212" i="34"/>
  <c r="S212" i="34"/>
  <c r="T212" i="34"/>
  <c r="V212" i="34"/>
  <c r="W212" i="34"/>
  <c r="X212" i="34"/>
  <c r="N213" i="34"/>
  <c r="P213" i="34"/>
  <c r="Q213" i="34"/>
  <c r="S213" i="34"/>
  <c r="T213" i="34"/>
  <c r="V213" i="34"/>
  <c r="W213" i="34"/>
  <c r="X213" i="34"/>
  <c r="N214" i="34"/>
  <c r="P214" i="34"/>
  <c r="Q214" i="34"/>
  <c r="S214" i="34"/>
  <c r="T214" i="34"/>
  <c r="V214" i="34"/>
  <c r="W214" i="34"/>
  <c r="X214" i="34"/>
  <c r="N215" i="34"/>
  <c r="P215" i="34"/>
  <c r="Q215" i="34"/>
  <c r="S215" i="34"/>
  <c r="T215" i="34"/>
  <c r="V215" i="34"/>
  <c r="W215" i="34"/>
  <c r="X215" i="34"/>
  <c r="N216" i="34"/>
  <c r="P216" i="34"/>
  <c r="Q216" i="34"/>
  <c r="S216" i="34"/>
  <c r="T216" i="34"/>
  <c r="V216" i="34"/>
  <c r="W216" i="34"/>
  <c r="X216" i="34"/>
  <c r="N217" i="34"/>
  <c r="P217" i="34"/>
  <c r="Q217" i="34"/>
  <c r="S217" i="34"/>
  <c r="T217" i="34"/>
  <c r="V217" i="34"/>
  <c r="W217" i="34"/>
  <c r="X217" i="34"/>
  <c r="N218" i="34"/>
  <c r="P218" i="34"/>
  <c r="Q218" i="34"/>
  <c r="S218" i="34"/>
  <c r="T218" i="34"/>
  <c r="V218" i="34"/>
  <c r="W218" i="34"/>
  <c r="X218" i="34"/>
  <c r="N219" i="34"/>
  <c r="P219" i="34"/>
  <c r="Q219" i="34"/>
  <c r="S219" i="34"/>
  <c r="T219" i="34"/>
  <c r="V219" i="34"/>
  <c r="W219" i="34"/>
  <c r="X219" i="34"/>
  <c r="N220" i="34"/>
  <c r="V220" i="34"/>
  <c r="W220" i="34"/>
  <c r="X220" i="34"/>
  <c r="N221" i="34"/>
  <c r="P221" i="34"/>
  <c r="Q221" i="34"/>
  <c r="S221" i="34"/>
  <c r="T221" i="34"/>
  <c r="V221" i="34"/>
  <c r="W221" i="34"/>
  <c r="X221" i="34"/>
  <c r="N222" i="34"/>
  <c r="P222" i="34"/>
  <c r="Q222" i="34"/>
  <c r="S222" i="34"/>
  <c r="T222" i="34"/>
  <c r="V222" i="34"/>
  <c r="W222" i="34"/>
  <c r="X222" i="34"/>
  <c r="N223" i="34"/>
  <c r="P223" i="34"/>
  <c r="Q223" i="34"/>
  <c r="S223" i="34"/>
  <c r="T223" i="34"/>
  <c r="V223" i="34"/>
  <c r="W223" i="34"/>
  <c r="X223" i="34"/>
  <c r="N224" i="34"/>
  <c r="P224" i="34"/>
  <c r="Q224" i="34"/>
  <c r="S224" i="34"/>
  <c r="T224" i="34"/>
  <c r="V224" i="34"/>
  <c r="W224" i="34"/>
  <c r="X224" i="34"/>
  <c r="N225" i="34"/>
  <c r="P225" i="34"/>
  <c r="Q225" i="34"/>
  <c r="S225" i="34"/>
  <c r="T225" i="34"/>
  <c r="V225" i="34"/>
  <c r="W225" i="34"/>
  <c r="X225" i="34"/>
  <c r="N226" i="34"/>
  <c r="P226" i="34"/>
  <c r="Q226" i="34"/>
  <c r="S226" i="34"/>
  <c r="T226" i="34"/>
  <c r="V226" i="34"/>
  <c r="W226" i="34"/>
  <c r="X226" i="34"/>
  <c r="N227" i="34"/>
  <c r="P227" i="34"/>
  <c r="Q227" i="34"/>
  <c r="S227" i="34"/>
  <c r="T227" i="34"/>
  <c r="V227" i="34"/>
  <c r="W227" i="34"/>
  <c r="X227" i="34"/>
  <c r="N228" i="34"/>
  <c r="P228" i="34"/>
  <c r="Q228" i="34"/>
  <c r="S228" i="34"/>
  <c r="T228" i="34"/>
  <c r="V228" i="34"/>
  <c r="W228" i="34"/>
  <c r="X228" i="34"/>
  <c r="N229" i="34"/>
  <c r="P229" i="34"/>
  <c r="Q229" i="34"/>
  <c r="S229" i="34"/>
  <c r="T229" i="34"/>
  <c r="V229" i="34"/>
  <c r="W229" i="34"/>
  <c r="X229" i="34"/>
  <c r="N230" i="34"/>
  <c r="P230" i="34"/>
  <c r="Q230" i="34"/>
  <c r="S230" i="34"/>
  <c r="T230" i="34"/>
  <c r="V230" i="34"/>
  <c r="W230" i="34"/>
  <c r="X230" i="34"/>
  <c r="N231" i="34"/>
  <c r="P231" i="34"/>
  <c r="Q231" i="34"/>
  <c r="S231" i="34"/>
  <c r="T231" i="34"/>
  <c r="V231" i="34"/>
  <c r="W231" i="34"/>
  <c r="X231" i="34"/>
  <c r="N232" i="34"/>
  <c r="P232" i="34"/>
  <c r="Q232" i="34"/>
  <c r="S232" i="34"/>
  <c r="T232" i="34"/>
  <c r="V232" i="34"/>
  <c r="W232" i="34"/>
  <c r="X232" i="34"/>
  <c r="N233" i="34"/>
  <c r="P233" i="34"/>
  <c r="Q233" i="34"/>
  <c r="S233" i="34"/>
  <c r="T233" i="34"/>
  <c r="V233" i="34"/>
  <c r="W233" i="34"/>
  <c r="X233" i="34"/>
  <c r="N234" i="34"/>
  <c r="P234" i="34"/>
  <c r="Q234" i="34"/>
  <c r="S234" i="34"/>
  <c r="T234" i="34"/>
  <c r="V234" i="34"/>
  <c r="W234" i="34"/>
  <c r="X234" i="34"/>
  <c r="N235" i="34"/>
  <c r="P235" i="34"/>
  <c r="Q235" i="34"/>
  <c r="S235" i="34"/>
  <c r="T235" i="34"/>
  <c r="V235" i="34"/>
  <c r="W235" i="34"/>
  <c r="X235" i="34"/>
  <c r="N236" i="34"/>
  <c r="P236" i="34"/>
  <c r="Q236" i="34"/>
  <c r="S236" i="34"/>
  <c r="T236" i="34"/>
  <c r="V236" i="34"/>
  <c r="W236" i="34"/>
  <c r="X236" i="34"/>
  <c r="N237" i="34"/>
  <c r="P237" i="34"/>
  <c r="Q237" i="34"/>
  <c r="S237" i="34"/>
  <c r="T237" i="34"/>
  <c r="V237" i="34"/>
  <c r="W237" i="34"/>
  <c r="X237" i="34"/>
  <c r="N238" i="34"/>
  <c r="P238" i="34"/>
  <c r="Q238" i="34"/>
  <c r="S238" i="34"/>
  <c r="T238" i="34"/>
  <c r="V238" i="34"/>
  <c r="W238" i="34"/>
  <c r="X238" i="34"/>
  <c r="N239" i="34"/>
  <c r="P239" i="34"/>
  <c r="Q239" i="34"/>
  <c r="S239" i="34"/>
  <c r="T239" i="34"/>
  <c r="V239" i="34"/>
  <c r="W239" i="34"/>
  <c r="X239" i="34"/>
  <c r="N240" i="34"/>
  <c r="P240" i="34"/>
  <c r="Q240" i="34"/>
  <c r="S240" i="34"/>
  <c r="T240" i="34"/>
  <c r="V240" i="34"/>
  <c r="W240" i="34"/>
  <c r="X240" i="34"/>
  <c r="N241" i="34"/>
  <c r="P241" i="34"/>
  <c r="Q241" i="34"/>
  <c r="S241" i="34"/>
  <c r="T241" i="34"/>
  <c r="V241" i="34"/>
  <c r="W241" i="34"/>
  <c r="X241" i="34"/>
  <c r="N242" i="34"/>
  <c r="P242" i="34"/>
  <c r="Q242" i="34"/>
  <c r="S242" i="34"/>
  <c r="T242" i="34"/>
  <c r="V242" i="34"/>
  <c r="W242" i="34"/>
  <c r="X242" i="34"/>
  <c r="N243" i="34"/>
  <c r="P243" i="34"/>
  <c r="Q243" i="34"/>
  <c r="S243" i="34"/>
  <c r="T243" i="34"/>
  <c r="V243" i="34"/>
  <c r="W243" i="34"/>
  <c r="X243" i="34"/>
  <c r="N244" i="34"/>
  <c r="P244" i="34"/>
  <c r="Q244" i="34"/>
  <c r="S244" i="34"/>
  <c r="T244" i="34"/>
  <c r="V244" i="34"/>
  <c r="W244" i="34"/>
  <c r="X244" i="34"/>
  <c r="N245" i="34"/>
  <c r="P245" i="34"/>
  <c r="Q245" i="34"/>
  <c r="S245" i="34"/>
  <c r="T245" i="34"/>
  <c r="V245" i="34"/>
  <c r="W245" i="34"/>
  <c r="X245" i="34"/>
  <c r="N246" i="34"/>
  <c r="P246" i="34"/>
  <c r="Q246" i="34"/>
  <c r="S246" i="34"/>
  <c r="T246" i="34"/>
  <c r="V246" i="34"/>
  <c r="W246" i="34"/>
  <c r="X246" i="34"/>
  <c r="N247" i="34"/>
  <c r="P247" i="34"/>
  <c r="Q247" i="34"/>
  <c r="S247" i="34"/>
  <c r="T247" i="34"/>
  <c r="V247" i="34"/>
  <c r="W247" i="34"/>
  <c r="X247" i="34"/>
  <c r="N248" i="34"/>
  <c r="P248" i="34"/>
  <c r="Q248" i="34"/>
  <c r="S248" i="34"/>
  <c r="T248" i="34"/>
  <c r="V248" i="34"/>
  <c r="W248" i="34"/>
  <c r="X248" i="34"/>
  <c r="N249" i="34"/>
  <c r="P249" i="34"/>
  <c r="Q249" i="34"/>
  <c r="S249" i="34"/>
  <c r="T249" i="34"/>
  <c r="V249" i="34"/>
  <c r="W249" i="34"/>
  <c r="X249" i="34"/>
  <c r="N250" i="34"/>
  <c r="P250" i="34"/>
  <c r="Q250" i="34"/>
  <c r="S250" i="34"/>
  <c r="T250" i="34"/>
  <c r="F250" i="34"/>
  <c r="X250" i="34"/>
  <c r="N251" i="34"/>
  <c r="P251" i="34"/>
  <c r="Q251" i="34"/>
  <c r="S251" i="34"/>
  <c r="T251" i="34"/>
  <c r="V251" i="34"/>
  <c r="W251" i="34"/>
  <c r="X251" i="34"/>
  <c r="N252" i="34"/>
  <c r="P252" i="34"/>
  <c r="Q252" i="34"/>
  <c r="S252" i="34"/>
  <c r="T252" i="34"/>
  <c r="V252" i="34"/>
  <c r="W252" i="34"/>
  <c r="X252" i="34"/>
  <c r="N253" i="34"/>
  <c r="P253" i="34"/>
  <c r="Q253" i="34"/>
  <c r="S253" i="34"/>
  <c r="T253" i="34"/>
  <c r="V253" i="34"/>
  <c r="W253" i="34"/>
  <c r="X253" i="34"/>
  <c r="N254" i="34"/>
  <c r="P254" i="34"/>
  <c r="Q254" i="34"/>
  <c r="S254" i="34"/>
  <c r="T254" i="34"/>
  <c r="V254" i="34"/>
  <c r="W254" i="34"/>
  <c r="X254" i="34"/>
  <c r="N255" i="34"/>
  <c r="P255" i="34"/>
  <c r="Q255" i="34"/>
  <c r="S255" i="34"/>
  <c r="T255" i="34"/>
  <c r="V255" i="34"/>
  <c r="W255" i="34"/>
  <c r="X255" i="34"/>
  <c r="N256" i="34"/>
  <c r="P256" i="34"/>
  <c r="Q256" i="34"/>
  <c r="S256" i="34"/>
  <c r="T256" i="34"/>
  <c r="V256" i="34"/>
  <c r="W256" i="34"/>
  <c r="X256" i="34"/>
  <c r="N257" i="34"/>
  <c r="P257" i="34"/>
  <c r="Q257" i="34"/>
  <c r="S257" i="34"/>
  <c r="T257" i="34"/>
  <c r="V257" i="34"/>
  <c r="W257" i="34"/>
  <c r="X257" i="34"/>
  <c r="N258" i="34"/>
  <c r="P258" i="34"/>
  <c r="Q258" i="34"/>
  <c r="S258" i="34"/>
  <c r="T258" i="34"/>
  <c r="V258" i="34"/>
  <c r="W258" i="34"/>
  <c r="X258" i="34"/>
  <c r="N259" i="34"/>
  <c r="P259" i="34"/>
  <c r="Q259" i="34"/>
  <c r="S259" i="34"/>
  <c r="T259" i="34"/>
  <c r="V259" i="34"/>
  <c r="W259" i="34"/>
  <c r="X259" i="34"/>
  <c r="N260" i="34"/>
  <c r="P260" i="34"/>
  <c r="Q260" i="34"/>
  <c r="S260" i="34"/>
  <c r="T260" i="34"/>
  <c r="V260" i="34"/>
  <c r="W260" i="34"/>
  <c r="X260" i="34"/>
  <c r="N261" i="34"/>
  <c r="P261" i="34"/>
  <c r="Q261" i="34"/>
  <c r="S261" i="34"/>
  <c r="T261" i="34"/>
  <c r="V261" i="34"/>
  <c r="W261" i="34"/>
  <c r="X261" i="34"/>
  <c r="N262" i="34"/>
  <c r="P262" i="34"/>
  <c r="Q262" i="34"/>
  <c r="S262" i="34"/>
  <c r="T262" i="34"/>
  <c r="V262" i="34"/>
  <c r="W262" i="34"/>
  <c r="X262" i="34"/>
  <c r="N263" i="34"/>
  <c r="P263" i="34"/>
  <c r="Q263" i="34"/>
  <c r="S263" i="34"/>
  <c r="T263" i="34"/>
  <c r="V263" i="34"/>
  <c r="W263" i="34"/>
  <c r="X263" i="34"/>
  <c r="N264" i="34"/>
  <c r="P264" i="34"/>
  <c r="Q264" i="34"/>
  <c r="S264" i="34"/>
  <c r="T264" i="34"/>
  <c r="V264" i="34"/>
  <c r="W264" i="34"/>
  <c r="X264" i="34"/>
  <c r="N265" i="34"/>
  <c r="P265" i="34"/>
  <c r="Q265" i="34"/>
  <c r="S265" i="34"/>
  <c r="T265" i="34"/>
  <c r="V265" i="34"/>
  <c r="W265" i="34"/>
  <c r="X265" i="34"/>
  <c r="N266" i="34"/>
  <c r="P266" i="34"/>
  <c r="Q266" i="34"/>
  <c r="S266" i="34"/>
  <c r="T266" i="34"/>
  <c r="V266" i="34"/>
  <c r="W266" i="34"/>
  <c r="X266" i="34"/>
  <c r="N267" i="34"/>
  <c r="P267" i="34"/>
  <c r="Q267" i="34"/>
  <c r="S267" i="34"/>
  <c r="T267" i="34"/>
  <c r="V267" i="34"/>
  <c r="W267" i="34"/>
  <c r="X267" i="34"/>
  <c r="N268" i="34"/>
  <c r="P268" i="34"/>
  <c r="Q268" i="34"/>
  <c r="S268" i="34"/>
  <c r="T268" i="34"/>
  <c r="V268" i="34"/>
  <c r="W268" i="34"/>
  <c r="X268" i="34"/>
  <c r="N269" i="34"/>
  <c r="P269" i="34"/>
  <c r="Q269" i="34"/>
  <c r="S269" i="34"/>
  <c r="T269" i="34"/>
  <c r="V269" i="34"/>
  <c r="W269" i="34"/>
  <c r="X269" i="34"/>
  <c r="N270" i="34"/>
  <c r="P270" i="34"/>
  <c r="Q270" i="34"/>
  <c r="S270" i="34"/>
  <c r="T270" i="34"/>
  <c r="V270" i="34"/>
  <c r="W270" i="34"/>
  <c r="X270" i="34"/>
  <c r="N271" i="34"/>
  <c r="P271" i="34"/>
  <c r="Q271" i="34"/>
  <c r="S271" i="34"/>
  <c r="T271" i="34"/>
  <c r="V271" i="34"/>
  <c r="W271" i="34"/>
  <c r="X271" i="34"/>
  <c r="N272" i="34"/>
  <c r="P272" i="34"/>
  <c r="Q272" i="34"/>
  <c r="S272" i="34"/>
  <c r="T272" i="34"/>
  <c r="V272" i="34"/>
  <c r="W272" i="34"/>
  <c r="X272" i="34"/>
  <c r="N273" i="34"/>
  <c r="P273" i="34"/>
  <c r="Q273" i="34"/>
  <c r="S273" i="34"/>
  <c r="T273" i="34"/>
  <c r="V273" i="34"/>
  <c r="W273" i="34"/>
  <c r="X273" i="34"/>
  <c r="N274" i="34"/>
  <c r="P274" i="34"/>
  <c r="Q274" i="34"/>
  <c r="S274" i="34"/>
  <c r="T274" i="34"/>
  <c r="V274" i="34"/>
  <c r="W274" i="34"/>
  <c r="X274" i="34"/>
  <c r="N275" i="34"/>
  <c r="P275" i="34"/>
  <c r="Q275" i="34"/>
  <c r="S275" i="34"/>
  <c r="T275" i="34"/>
  <c r="V275" i="34"/>
  <c r="W275" i="34"/>
  <c r="X275" i="34"/>
  <c r="N276" i="34"/>
  <c r="P276" i="34"/>
  <c r="Q276" i="34"/>
  <c r="S276" i="34"/>
  <c r="T276" i="34"/>
  <c r="V276" i="34"/>
  <c r="W276" i="34"/>
  <c r="X276" i="34"/>
  <c r="N277" i="34"/>
  <c r="P277" i="34"/>
  <c r="Q277" i="34"/>
  <c r="S277" i="34"/>
  <c r="T277" i="34"/>
  <c r="V277" i="34"/>
  <c r="W277" i="34"/>
  <c r="X277" i="34"/>
  <c r="N278" i="34"/>
  <c r="P278" i="34"/>
  <c r="Q278" i="34"/>
  <c r="S278" i="34"/>
  <c r="T278" i="34"/>
  <c r="V278" i="34"/>
  <c r="W278" i="34"/>
  <c r="X278" i="34"/>
  <c r="N279" i="34"/>
  <c r="P279" i="34"/>
  <c r="Q279" i="34"/>
  <c r="S279" i="34"/>
  <c r="T279" i="34"/>
  <c r="V279" i="34"/>
  <c r="W279" i="34"/>
  <c r="X279" i="34"/>
  <c r="N280" i="34"/>
  <c r="P280" i="34"/>
  <c r="Q280" i="34"/>
  <c r="S280" i="34"/>
  <c r="T280" i="34"/>
  <c r="V280" i="34"/>
  <c r="W280" i="34"/>
  <c r="X280" i="34"/>
  <c r="N281" i="34"/>
  <c r="P281" i="34"/>
  <c r="Q281" i="34"/>
  <c r="S281" i="34"/>
  <c r="T281" i="34"/>
  <c r="V281" i="34"/>
  <c r="W281" i="34"/>
  <c r="X281" i="34"/>
  <c r="N282" i="34"/>
  <c r="P282" i="34"/>
  <c r="Q282" i="34"/>
  <c r="S282" i="34"/>
  <c r="T282" i="34"/>
  <c r="V282" i="34"/>
  <c r="W282" i="34"/>
  <c r="X282" i="34"/>
  <c r="N283" i="34"/>
  <c r="P283" i="34"/>
  <c r="Q283" i="34"/>
  <c r="S283" i="34"/>
  <c r="T283" i="34"/>
  <c r="V283" i="34"/>
  <c r="W283" i="34"/>
  <c r="X283" i="34"/>
  <c r="N284" i="34"/>
  <c r="P284" i="34"/>
  <c r="Q284" i="34"/>
  <c r="S284" i="34"/>
  <c r="T284" i="34"/>
  <c r="V284" i="34"/>
  <c r="W284" i="34"/>
  <c r="X284" i="34"/>
  <c r="N285" i="34"/>
  <c r="P285" i="34"/>
  <c r="Q285" i="34"/>
  <c r="S285" i="34"/>
  <c r="T285" i="34"/>
  <c r="V285" i="34"/>
  <c r="W285" i="34"/>
  <c r="X285" i="34"/>
  <c r="N286" i="34"/>
  <c r="P286" i="34"/>
  <c r="Q286" i="34"/>
  <c r="S286" i="34"/>
  <c r="T286" i="34"/>
  <c r="V286" i="34"/>
  <c r="W286" i="34"/>
  <c r="X286" i="34"/>
  <c r="N287" i="34"/>
  <c r="P287" i="34"/>
  <c r="Q287" i="34"/>
  <c r="S287" i="34"/>
  <c r="T287" i="34"/>
  <c r="V287" i="34"/>
  <c r="W287" i="34"/>
  <c r="X287" i="34"/>
  <c r="N288" i="34"/>
  <c r="P288" i="34"/>
  <c r="Q288" i="34"/>
  <c r="S288" i="34"/>
  <c r="T288" i="34"/>
  <c r="V288" i="34"/>
  <c r="W288" i="34"/>
  <c r="X288" i="34"/>
  <c r="N289" i="34"/>
  <c r="P289" i="34"/>
  <c r="Q289" i="34"/>
  <c r="S289" i="34"/>
  <c r="T289" i="34"/>
  <c r="V289" i="34"/>
  <c r="W289" i="34"/>
  <c r="X289" i="34"/>
  <c r="N290" i="34"/>
  <c r="P290" i="34"/>
  <c r="Q290" i="34"/>
  <c r="S290" i="34"/>
  <c r="T290" i="34"/>
  <c r="V290" i="34"/>
  <c r="W290" i="34"/>
  <c r="X290" i="34"/>
  <c r="N291" i="34"/>
  <c r="P291" i="34"/>
  <c r="Q291" i="34"/>
  <c r="S291" i="34"/>
  <c r="T291" i="34"/>
  <c r="V291" i="34"/>
  <c r="W291" i="34"/>
  <c r="X291" i="34"/>
  <c r="N292" i="34"/>
  <c r="P292" i="34"/>
  <c r="Q292" i="34"/>
  <c r="S292" i="34"/>
  <c r="T292" i="34"/>
  <c r="V292" i="34"/>
  <c r="W292" i="34"/>
  <c r="X292" i="34"/>
  <c r="N293" i="34"/>
  <c r="P293" i="34"/>
  <c r="Q293" i="34"/>
  <c r="S293" i="34"/>
  <c r="T293" i="34"/>
  <c r="V293" i="34"/>
  <c r="W293" i="34"/>
  <c r="X293" i="34"/>
  <c r="N294" i="34"/>
  <c r="P294" i="34"/>
  <c r="Q294" i="34"/>
  <c r="S294" i="34"/>
  <c r="T294" i="34"/>
  <c r="V294" i="34"/>
  <c r="W294" i="34"/>
  <c r="X294" i="34"/>
  <c r="N840" i="34"/>
  <c r="P840" i="34"/>
  <c r="Q840" i="34"/>
  <c r="S840" i="34"/>
  <c r="T840" i="34"/>
  <c r="V840" i="34"/>
  <c r="W840" i="34"/>
  <c r="X840" i="34"/>
  <c r="N841" i="34"/>
  <c r="P841" i="34"/>
  <c r="Q841" i="34"/>
  <c r="S841" i="34"/>
  <c r="T841" i="34"/>
  <c r="V841" i="34"/>
  <c r="W841" i="34"/>
  <c r="X841" i="34"/>
  <c r="N295" i="34"/>
  <c r="P295" i="34"/>
  <c r="Q295" i="34"/>
  <c r="S295" i="34"/>
  <c r="T295" i="34"/>
  <c r="V295" i="34"/>
  <c r="W295" i="34"/>
  <c r="X295" i="34"/>
  <c r="N296" i="34"/>
  <c r="P296" i="34"/>
  <c r="Q296" i="34"/>
  <c r="S296" i="34"/>
  <c r="T296" i="34"/>
  <c r="V296" i="34"/>
  <c r="W296" i="34"/>
  <c r="X296" i="34"/>
  <c r="N297" i="34"/>
  <c r="P297" i="34"/>
  <c r="Q297" i="34"/>
  <c r="S297" i="34"/>
  <c r="T297" i="34"/>
  <c r="V297" i="34"/>
  <c r="W297" i="34"/>
  <c r="X297" i="34"/>
  <c r="N298" i="34"/>
  <c r="P298" i="34"/>
  <c r="Q298" i="34"/>
  <c r="S298" i="34"/>
  <c r="T298" i="34"/>
  <c r="V298" i="34"/>
  <c r="W298" i="34"/>
  <c r="X298" i="34"/>
  <c r="N299" i="34"/>
  <c r="P299" i="34"/>
  <c r="Q299" i="34"/>
  <c r="S299" i="34"/>
  <c r="T299" i="34"/>
  <c r="V299" i="34"/>
  <c r="W299" i="34"/>
  <c r="X299" i="34"/>
  <c r="N300" i="34"/>
  <c r="P300" i="34"/>
  <c r="Q300" i="34"/>
  <c r="S300" i="34"/>
  <c r="T300" i="34"/>
  <c r="V300" i="34"/>
  <c r="W300" i="34"/>
  <c r="X300" i="34"/>
  <c r="N301" i="34"/>
  <c r="P301" i="34"/>
  <c r="Q301" i="34"/>
  <c r="S301" i="34"/>
  <c r="T301" i="34"/>
  <c r="V301" i="34"/>
  <c r="W301" i="34"/>
  <c r="X301" i="34"/>
  <c r="N302" i="34"/>
  <c r="P302" i="34"/>
  <c r="Q302" i="34"/>
  <c r="S302" i="34"/>
  <c r="T302" i="34"/>
  <c r="V302" i="34"/>
  <c r="W302" i="34"/>
  <c r="X302" i="34"/>
  <c r="N303" i="34"/>
  <c r="P303" i="34"/>
  <c r="Q303" i="34"/>
  <c r="S303" i="34"/>
  <c r="T303" i="34"/>
  <c r="V303" i="34"/>
  <c r="W303" i="34"/>
  <c r="X303" i="34"/>
  <c r="N304" i="34"/>
  <c r="P304" i="34"/>
  <c r="Q304" i="34"/>
  <c r="S304" i="34"/>
  <c r="T304" i="34"/>
  <c r="V304" i="34"/>
  <c r="W304" i="34"/>
  <c r="X304" i="34"/>
  <c r="N305" i="34"/>
  <c r="P305" i="34"/>
  <c r="Q305" i="34"/>
  <c r="S305" i="34"/>
  <c r="T305" i="34"/>
  <c r="V305" i="34"/>
  <c r="W305" i="34"/>
  <c r="X305" i="34"/>
  <c r="N306" i="34"/>
  <c r="P306" i="34"/>
  <c r="Q306" i="34"/>
  <c r="S306" i="34"/>
  <c r="T306" i="34"/>
  <c r="V306" i="34"/>
  <c r="W306" i="34"/>
  <c r="X306" i="34"/>
  <c r="N307" i="34"/>
  <c r="P307" i="34"/>
  <c r="Q307" i="34"/>
  <c r="S307" i="34"/>
  <c r="T307" i="34"/>
  <c r="V307" i="34"/>
  <c r="W307" i="34"/>
  <c r="X307" i="34"/>
  <c r="N308" i="34"/>
  <c r="P308" i="34"/>
  <c r="Q308" i="34"/>
  <c r="S308" i="34"/>
  <c r="T308" i="34"/>
  <c r="V308" i="34"/>
  <c r="W308" i="34"/>
  <c r="X308" i="34"/>
  <c r="N309" i="34"/>
  <c r="P309" i="34"/>
  <c r="Q309" i="34"/>
  <c r="S309" i="34"/>
  <c r="T309" i="34"/>
  <c r="V309" i="34"/>
  <c r="W309" i="34"/>
  <c r="X309" i="34"/>
  <c r="N310" i="34"/>
  <c r="P310" i="34"/>
  <c r="Q310" i="34"/>
  <c r="S310" i="34"/>
  <c r="T310" i="34"/>
  <c r="V310" i="34"/>
  <c r="W310" i="34"/>
  <c r="X310" i="34"/>
  <c r="N311" i="34"/>
  <c r="P311" i="34"/>
  <c r="Q311" i="34"/>
  <c r="S311" i="34"/>
  <c r="T311" i="34"/>
  <c r="V311" i="34"/>
  <c r="W311" i="34"/>
  <c r="X311" i="34"/>
  <c r="N312" i="34"/>
  <c r="P312" i="34"/>
  <c r="Q312" i="34"/>
  <c r="S312" i="34"/>
  <c r="T312" i="34"/>
  <c r="V312" i="34"/>
  <c r="W312" i="34"/>
  <c r="X312" i="34"/>
  <c r="N313" i="34"/>
  <c r="P313" i="34"/>
  <c r="Q313" i="34"/>
  <c r="S313" i="34"/>
  <c r="T313" i="34"/>
  <c r="V313" i="34"/>
  <c r="W313" i="34"/>
  <c r="X313" i="34"/>
  <c r="N314" i="34"/>
  <c r="P314" i="34"/>
  <c r="Q314" i="34"/>
  <c r="S314" i="34"/>
  <c r="T314" i="34"/>
  <c r="V314" i="34"/>
  <c r="W314" i="34"/>
  <c r="X314" i="34"/>
  <c r="N315" i="34"/>
  <c r="P315" i="34"/>
  <c r="Q315" i="34"/>
  <c r="S315" i="34"/>
  <c r="T315" i="34"/>
  <c r="V315" i="34"/>
  <c r="W315" i="34"/>
  <c r="X315" i="34"/>
  <c r="N316" i="34"/>
  <c r="P316" i="34"/>
  <c r="Q316" i="34"/>
  <c r="S316" i="34"/>
  <c r="T316" i="34"/>
  <c r="V316" i="34"/>
  <c r="W316" i="34"/>
  <c r="X316" i="34"/>
  <c r="N317" i="34"/>
  <c r="P317" i="34"/>
  <c r="Q317" i="34"/>
  <c r="S317" i="34"/>
  <c r="T317" i="34"/>
  <c r="V317" i="34"/>
  <c r="W317" i="34"/>
  <c r="X317" i="34"/>
  <c r="N318" i="34"/>
  <c r="P318" i="34"/>
  <c r="Q318" i="34"/>
  <c r="S318" i="34"/>
  <c r="T318" i="34"/>
  <c r="V318" i="34"/>
  <c r="W318" i="34"/>
  <c r="X318" i="34"/>
  <c r="N319" i="34"/>
  <c r="P319" i="34"/>
  <c r="Q319" i="34"/>
  <c r="S319" i="34"/>
  <c r="T319" i="34"/>
  <c r="V319" i="34"/>
  <c r="W319" i="34"/>
  <c r="X319" i="34"/>
  <c r="N320" i="34"/>
  <c r="P320" i="34"/>
  <c r="Q320" i="34"/>
  <c r="S320" i="34"/>
  <c r="T320" i="34"/>
  <c r="V320" i="34"/>
  <c r="W320" i="34"/>
  <c r="X320" i="34"/>
  <c r="N321" i="34"/>
  <c r="P321" i="34"/>
  <c r="Q321" i="34"/>
  <c r="S321" i="34"/>
  <c r="T321" i="34"/>
  <c r="V321" i="34"/>
  <c r="W321" i="34"/>
  <c r="X321" i="34"/>
  <c r="N322" i="34"/>
  <c r="P322" i="34"/>
  <c r="Q322" i="34"/>
  <c r="S322" i="34"/>
  <c r="T322" i="34"/>
  <c r="V322" i="34"/>
  <c r="W322" i="34"/>
  <c r="X322" i="34"/>
  <c r="N323" i="34"/>
  <c r="P323" i="34"/>
  <c r="Q323" i="34"/>
  <c r="S323" i="34"/>
  <c r="T323" i="34"/>
  <c r="V323" i="34"/>
  <c r="W323" i="34"/>
  <c r="X323" i="34"/>
  <c r="N324" i="34"/>
  <c r="P324" i="34"/>
  <c r="Q324" i="34"/>
  <c r="S324" i="34"/>
  <c r="T324" i="34"/>
  <c r="V324" i="34"/>
  <c r="W324" i="34"/>
  <c r="X324" i="34"/>
  <c r="N325" i="34"/>
  <c r="P325" i="34"/>
  <c r="Q325" i="34"/>
  <c r="S325" i="34"/>
  <c r="T325" i="34"/>
  <c r="V325" i="34"/>
  <c r="W325" i="34"/>
  <c r="X325" i="34"/>
  <c r="N326" i="34"/>
  <c r="P326" i="34"/>
  <c r="Q326" i="34"/>
  <c r="S326" i="34"/>
  <c r="T326" i="34"/>
  <c r="V326" i="34"/>
  <c r="W326" i="34"/>
  <c r="X326" i="34"/>
  <c r="N327" i="34"/>
  <c r="P327" i="34"/>
  <c r="Q327" i="34"/>
  <c r="S327" i="34"/>
  <c r="T327" i="34"/>
  <c r="V327" i="34"/>
  <c r="W327" i="34"/>
  <c r="X327" i="34"/>
  <c r="N328" i="34"/>
  <c r="P328" i="34"/>
  <c r="Q328" i="34"/>
  <c r="S328" i="34"/>
  <c r="T328" i="34"/>
  <c r="V328" i="34"/>
  <c r="W328" i="34"/>
  <c r="X328" i="34"/>
  <c r="N329" i="34"/>
  <c r="P329" i="34"/>
  <c r="Q329" i="34"/>
  <c r="S329" i="34"/>
  <c r="T329" i="34"/>
  <c r="V329" i="34"/>
  <c r="W329" i="34"/>
  <c r="X329" i="34"/>
  <c r="N330" i="34"/>
  <c r="P330" i="34"/>
  <c r="Q330" i="34"/>
  <c r="S330" i="34"/>
  <c r="T330" i="34"/>
  <c r="V330" i="34"/>
  <c r="W330" i="34"/>
  <c r="X330" i="34"/>
  <c r="N331" i="34"/>
  <c r="P331" i="34"/>
  <c r="Q331" i="34"/>
  <c r="S331" i="34"/>
  <c r="T331" i="34"/>
  <c r="V331" i="34"/>
  <c r="W331" i="34"/>
  <c r="X331" i="34"/>
  <c r="N332" i="34"/>
  <c r="V332" i="34"/>
  <c r="W332" i="34"/>
  <c r="X332" i="34"/>
  <c r="N333" i="34"/>
  <c r="P333" i="34"/>
  <c r="Q333" i="34"/>
  <c r="S333" i="34"/>
  <c r="T333" i="34"/>
  <c r="V333" i="34"/>
  <c r="W333" i="34"/>
  <c r="X333" i="34"/>
  <c r="N334" i="34"/>
  <c r="P334" i="34"/>
  <c r="Q334" i="34"/>
  <c r="S334" i="34"/>
  <c r="T334" i="34"/>
  <c r="V334" i="34"/>
  <c r="W334" i="34"/>
  <c r="X334" i="34"/>
  <c r="N335" i="34"/>
  <c r="P335" i="34"/>
  <c r="Q335" i="34"/>
  <c r="S335" i="34"/>
  <c r="T335" i="34"/>
  <c r="V335" i="34"/>
  <c r="W335" i="34"/>
  <c r="X335" i="34"/>
  <c r="N336" i="34"/>
  <c r="P336" i="34"/>
  <c r="Q336" i="34"/>
  <c r="S336" i="34"/>
  <c r="T336" i="34"/>
  <c r="V336" i="34"/>
  <c r="W336" i="34"/>
  <c r="X336" i="34"/>
  <c r="N337" i="34"/>
  <c r="P337" i="34"/>
  <c r="Q337" i="34"/>
  <c r="S337" i="34"/>
  <c r="T337" i="34"/>
  <c r="V337" i="34"/>
  <c r="W337" i="34"/>
  <c r="X337" i="34"/>
  <c r="N338" i="34"/>
  <c r="P338" i="34"/>
  <c r="Q338" i="34"/>
  <c r="S338" i="34"/>
  <c r="T338" i="34"/>
  <c r="V338" i="34"/>
  <c r="W338" i="34"/>
  <c r="X338" i="34"/>
  <c r="N339" i="34"/>
  <c r="P339" i="34"/>
  <c r="Q339" i="34"/>
  <c r="S339" i="34"/>
  <c r="T339" i="34"/>
  <c r="V339" i="34"/>
  <c r="W339" i="34"/>
  <c r="X339" i="34"/>
  <c r="N340" i="34"/>
  <c r="P340" i="34"/>
  <c r="Q340" i="34"/>
  <c r="S340" i="34"/>
  <c r="T340" i="34"/>
  <c r="V340" i="34"/>
  <c r="W340" i="34"/>
  <c r="X340" i="34"/>
  <c r="N341" i="34"/>
  <c r="P341" i="34"/>
  <c r="Q341" i="34"/>
  <c r="S341" i="34"/>
  <c r="T341" i="34"/>
  <c r="V341" i="34"/>
  <c r="W341" i="34"/>
  <c r="X341" i="34"/>
  <c r="N342" i="34"/>
  <c r="P342" i="34"/>
  <c r="Q342" i="34"/>
  <c r="S342" i="34"/>
  <c r="T342" i="34"/>
  <c r="V342" i="34"/>
  <c r="W342" i="34"/>
  <c r="X342" i="34"/>
  <c r="N343" i="34"/>
  <c r="P343" i="34"/>
  <c r="Q343" i="34"/>
  <c r="S343" i="34"/>
  <c r="T343" i="34"/>
  <c r="V343" i="34"/>
  <c r="W343" i="34"/>
  <c r="X343" i="34"/>
  <c r="N344" i="34"/>
  <c r="P344" i="34"/>
  <c r="Q344" i="34"/>
  <c r="S344" i="34"/>
  <c r="T344" i="34"/>
  <c r="V344" i="34"/>
  <c r="W344" i="34"/>
  <c r="X344" i="34"/>
  <c r="N345" i="34"/>
  <c r="P345" i="34"/>
  <c r="Q345" i="34"/>
  <c r="S345" i="34"/>
  <c r="T345" i="34"/>
  <c r="V345" i="34"/>
  <c r="W345" i="34"/>
  <c r="X345" i="34"/>
  <c r="N346" i="34"/>
  <c r="P346" i="34"/>
  <c r="Q346" i="34"/>
  <c r="S346" i="34"/>
  <c r="T346" i="34"/>
  <c r="V346" i="34"/>
  <c r="W346" i="34"/>
  <c r="X346" i="34"/>
  <c r="N347" i="34"/>
  <c r="P347" i="34"/>
  <c r="Q347" i="34"/>
  <c r="S347" i="34"/>
  <c r="T347" i="34"/>
  <c r="V347" i="34"/>
  <c r="W347" i="34"/>
  <c r="X347" i="34"/>
  <c r="N348" i="34"/>
  <c r="P348" i="34"/>
  <c r="Q348" i="34"/>
  <c r="S348" i="34"/>
  <c r="T348" i="34"/>
  <c r="V348" i="34"/>
  <c r="W348" i="34"/>
  <c r="X348" i="34"/>
  <c r="N349" i="34"/>
  <c r="P349" i="34"/>
  <c r="Q349" i="34"/>
  <c r="S349" i="34"/>
  <c r="T349" i="34"/>
  <c r="V349" i="34"/>
  <c r="W349" i="34"/>
  <c r="X349" i="34"/>
  <c r="N350" i="34"/>
  <c r="P350" i="34"/>
  <c r="Q350" i="34"/>
  <c r="S350" i="34"/>
  <c r="T350" i="34"/>
  <c r="V350" i="34"/>
  <c r="W350" i="34"/>
  <c r="X350" i="34"/>
  <c r="N351" i="34"/>
  <c r="P351" i="34"/>
  <c r="Q351" i="34"/>
  <c r="S351" i="34"/>
  <c r="T351" i="34"/>
  <c r="V351" i="34"/>
  <c r="W351" i="34"/>
  <c r="X351" i="34"/>
  <c r="N352" i="34"/>
  <c r="P352" i="34"/>
  <c r="Q352" i="34"/>
  <c r="S352" i="34"/>
  <c r="T352" i="34"/>
  <c r="V352" i="34"/>
  <c r="W352" i="34"/>
  <c r="X352" i="34"/>
  <c r="N353" i="34"/>
  <c r="P353" i="34"/>
  <c r="Q353" i="34"/>
  <c r="S353" i="34"/>
  <c r="T353" i="34"/>
  <c r="V353" i="34"/>
  <c r="W353" i="34"/>
  <c r="X353" i="34"/>
  <c r="N354" i="34"/>
  <c r="P354" i="34"/>
  <c r="Q354" i="34"/>
  <c r="S354" i="34"/>
  <c r="T354" i="34"/>
  <c r="V354" i="34"/>
  <c r="W354" i="34"/>
  <c r="X354" i="34"/>
  <c r="N355" i="34"/>
  <c r="P355" i="34"/>
  <c r="Q355" i="34"/>
  <c r="S355" i="34"/>
  <c r="T355" i="34"/>
  <c r="V355" i="34"/>
  <c r="W355" i="34"/>
  <c r="X355" i="34"/>
  <c r="N356" i="34"/>
  <c r="P356" i="34"/>
  <c r="Q356" i="34"/>
  <c r="S356" i="34"/>
  <c r="T356" i="34"/>
  <c r="V356" i="34"/>
  <c r="W356" i="34"/>
  <c r="X356" i="34"/>
  <c r="N357" i="34"/>
  <c r="P357" i="34"/>
  <c r="Q357" i="34"/>
  <c r="S357" i="34"/>
  <c r="T357" i="34"/>
  <c r="V357" i="34"/>
  <c r="W357" i="34"/>
  <c r="X357" i="34"/>
  <c r="N358" i="34"/>
  <c r="P358" i="34"/>
  <c r="Q358" i="34"/>
  <c r="S358" i="34"/>
  <c r="T358" i="34"/>
  <c r="V358" i="34"/>
  <c r="W358" i="34"/>
  <c r="X358" i="34"/>
  <c r="N359" i="34"/>
  <c r="P359" i="34"/>
  <c r="Q359" i="34"/>
  <c r="S359" i="34"/>
  <c r="T359" i="34"/>
  <c r="V359" i="34"/>
  <c r="W359" i="34"/>
  <c r="X359" i="34"/>
  <c r="N360" i="34"/>
  <c r="P360" i="34"/>
  <c r="Q360" i="34"/>
  <c r="S360" i="34"/>
  <c r="T360" i="34"/>
  <c r="V360" i="34"/>
  <c r="W360" i="34"/>
  <c r="X360" i="34"/>
  <c r="N361" i="34"/>
  <c r="P361" i="34"/>
  <c r="Q361" i="34"/>
  <c r="S361" i="34"/>
  <c r="T361" i="34"/>
  <c r="V361" i="34"/>
  <c r="W361" i="34"/>
  <c r="X361" i="34"/>
  <c r="N362" i="34"/>
  <c r="P362" i="34"/>
  <c r="Q362" i="34"/>
  <c r="S362" i="34"/>
  <c r="T362" i="34"/>
  <c r="V362" i="34"/>
  <c r="W362" i="34"/>
  <c r="X362" i="34"/>
  <c r="N363" i="34"/>
  <c r="P363" i="34"/>
  <c r="Q363" i="34"/>
  <c r="S363" i="34"/>
  <c r="T363" i="34"/>
  <c r="V363" i="34"/>
  <c r="W363" i="34"/>
  <c r="X363" i="34"/>
  <c r="N364" i="34"/>
  <c r="P364" i="34"/>
  <c r="Q364" i="34"/>
  <c r="S364" i="34"/>
  <c r="T364" i="34"/>
  <c r="V364" i="34"/>
  <c r="W364" i="34"/>
  <c r="X364" i="34"/>
  <c r="N365" i="34"/>
  <c r="P365" i="34"/>
  <c r="Q365" i="34"/>
  <c r="S365" i="34"/>
  <c r="T365" i="34"/>
  <c r="V365" i="34"/>
  <c r="W365" i="34"/>
  <c r="X365" i="34"/>
  <c r="N366" i="34"/>
  <c r="P366" i="34"/>
  <c r="Q366" i="34"/>
  <c r="S366" i="34"/>
  <c r="T366" i="34"/>
  <c r="V366" i="34"/>
  <c r="W366" i="34"/>
  <c r="X366" i="34"/>
  <c r="N367" i="34"/>
  <c r="P367" i="34"/>
  <c r="Q367" i="34"/>
  <c r="S367" i="34"/>
  <c r="T367" i="34"/>
  <c r="V367" i="34"/>
  <c r="W367" i="34"/>
  <c r="X367" i="34"/>
  <c r="N368" i="34"/>
  <c r="P368" i="34"/>
  <c r="Q368" i="34"/>
  <c r="S368" i="34"/>
  <c r="T368" i="34"/>
  <c r="V368" i="34"/>
  <c r="W368" i="34"/>
  <c r="X368" i="34"/>
  <c r="N369" i="34"/>
  <c r="P369" i="34"/>
  <c r="Q369" i="34"/>
  <c r="S369" i="34"/>
  <c r="T369" i="34"/>
  <c r="V369" i="34"/>
  <c r="W369" i="34"/>
  <c r="X369" i="34"/>
  <c r="N370" i="34"/>
  <c r="P370" i="34"/>
  <c r="Q370" i="34"/>
  <c r="S370" i="34"/>
  <c r="T370" i="34"/>
  <c r="V370" i="34"/>
  <c r="W370" i="34"/>
  <c r="X370" i="34"/>
  <c r="N371" i="34"/>
  <c r="P371" i="34"/>
  <c r="Q371" i="34"/>
  <c r="S371" i="34"/>
  <c r="T371" i="34"/>
  <c r="V371" i="34"/>
  <c r="W371" i="34"/>
  <c r="X371" i="34"/>
  <c r="N372" i="34"/>
  <c r="P372" i="34"/>
  <c r="Q372" i="34"/>
  <c r="S372" i="34"/>
  <c r="T372" i="34"/>
  <c r="V372" i="34"/>
  <c r="W372" i="34"/>
  <c r="X372" i="34"/>
  <c r="N373" i="34"/>
  <c r="P373" i="34"/>
  <c r="Q373" i="34"/>
  <c r="S373" i="34"/>
  <c r="T373" i="34"/>
  <c r="V373" i="34"/>
  <c r="W373" i="34"/>
  <c r="X373" i="34"/>
  <c r="N374" i="34"/>
  <c r="P374" i="34"/>
  <c r="Q374" i="34"/>
  <c r="S374" i="34"/>
  <c r="T374" i="34"/>
  <c r="V374" i="34"/>
  <c r="W374" i="34"/>
  <c r="X374" i="34"/>
  <c r="N375" i="34"/>
  <c r="P375" i="34"/>
  <c r="Q375" i="34"/>
  <c r="S375" i="34"/>
  <c r="T375" i="34"/>
  <c r="V375" i="34"/>
  <c r="W375" i="34"/>
  <c r="X375" i="34"/>
  <c r="N376" i="34"/>
  <c r="P376" i="34"/>
  <c r="Q376" i="34"/>
  <c r="S376" i="34"/>
  <c r="T376" i="34"/>
  <c r="V376" i="34"/>
  <c r="W376" i="34"/>
  <c r="X376" i="34"/>
  <c r="N377" i="34"/>
  <c r="P377" i="34"/>
  <c r="Q377" i="34"/>
  <c r="S377" i="34"/>
  <c r="T377" i="34"/>
  <c r="V377" i="34"/>
  <c r="W377" i="34"/>
  <c r="X377" i="34"/>
  <c r="N378" i="34"/>
  <c r="P378" i="34"/>
  <c r="Q378" i="34"/>
  <c r="S378" i="34"/>
  <c r="T378" i="34"/>
  <c r="V378" i="34"/>
  <c r="W378" i="34"/>
  <c r="X378" i="34"/>
  <c r="N379" i="34"/>
  <c r="P379" i="34"/>
  <c r="Q379" i="34"/>
  <c r="S379" i="34"/>
  <c r="T379" i="34"/>
  <c r="V379" i="34"/>
  <c r="W379" i="34"/>
  <c r="X379" i="34"/>
  <c r="N380" i="34"/>
  <c r="P380" i="34"/>
  <c r="Q380" i="34"/>
  <c r="S380" i="34"/>
  <c r="T380" i="34"/>
  <c r="V380" i="34"/>
  <c r="W380" i="34"/>
  <c r="X380" i="34"/>
  <c r="N381" i="34"/>
  <c r="P381" i="34"/>
  <c r="Q381" i="34"/>
  <c r="S381" i="34"/>
  <c r="T381" i="34"/>
  <c r="V381" i="34"/>
  <c r="W381" i="34"/>
  <c r="X381" i="34"/>
  <c r="N382" i="34"/>
  <c r="P382" i="34"/>
  <c r="Q382" i="34"/>
  <c r="S382" i="34"/>
  <c r="T382" i="34"/>
  <c r="V382" i="34"/>
  <c r="W382" i="34"/>
  <c r="X382" i="34"/>
  <c r="N383" i="34"/>
  <c r="P383" i="34"/>
  <c r="Q383" i="34"/>
  <c r="S383" i="34"/>
  <c r="T383" i="34"/>
  <c r="V383" i="34"/>
  <c r="W383" i="34"/>
  <c r="X383" i="34"/>
  <c r="N384" i="34"/>
  <c r="P384" i="34"/>
  <c r="Q384" i="34"/>
  <c r="S384" i="34"/>
  <c r="T384" i="34"/>
  <c r="V384" i="34"/>
  <c r="W384" i="34"/>
  <c r="X384" i="34"/>
  <c r="N385" i="34"/>
  <c r="P385" i="34"/>
  <c r="Q385" i="34"/>
  <c r="S385" i="34"/>
  <c r="T385" i="34"/>
  <c r="V385" i="34"/>
  <c r="W385" i="34"/>
  <c r="X385" i="34"/>
  <c r="N842" i="34"/>
  <c r="P842" i="34"/>
  <c r="Q842" i="34"/>
  <c r="S842" i="34"/>
  <c r="T842" i="34"/>
  <c r="V842" i="34"/>
  <c r="W842" i="34"/>
  <c r="X842" i="34"/>
  <c r="N386" i="34"/>
  <c r="P386" i="34"/>
  <c r="Q386" i="34"/>
  <c r="S386" i="34"/>
  <c r="T386" i="34"/>
  <c r="V386" i="34"/>
  <c r="W386" i="34"/>
  <c r="X386" i="34"/>
  <c r="N387" i="34"/>
  <c r="P387" i="34"/>
  <c r="Q387" i="34"/>
  <c r="S387" i="34"/>
  <c r="T387" i="34"/>
  <c r="V387" i="34"/>
  <c r="W387" i="34"/>
  <c r="X387" i="34"/>
  <c r="N388" i="34"/>
  <c r="P388" i="34"/>
  <c r="Q388" i="34"/>
  <c r="S388" i="34"/>
  <c r="T388" i="34"/>
  <c r="V388" i="34"/>
  <c r="W388" i="34"/>
  <c r="X388" i="34"/>
  <c r="N389" i="34"/>
  <c r="P389" i="34"/>
  <c r="Q389" i="34"/>
  <c r="S389" i="34"/>
  <c r="T389" i="34"/>
  <c r="V389" i="34"/>
  <c r="W389" i="34"/>
  <c r="X389" i="34"/>
  <c r="N390" i="34"/>
  <c r="P390" i="34"/>
  <c r="Q390" i="34"/>
  <c r="S390" i="34"/>
  <c r="T390" i="34"/>
  <c r="F390" i="34"/>
  <c r="W390" i="34" s="1"/>
  <c r="X390" i="34"/>
  <c r="N391" i="34"/>
  <c r="P391" i="34"/>
  <c r="Q391" i="34"/>
  <c r="S391" i="34"/>
  <c r="T391" i="34"/>
  <c r="V391" i="34"/>
  <c r="W391" i="34"/>
  <c r="X391" i="34"/>
  <c r="N392" i="34"/>
  <c r="P392" i="34"/>
  <c r="Q392" i="34"/>
  <c r="S392" i="34"/>
  <c r="T392" i="34"/>
  <c r="V392" i="34"/>
  <c r="W392" i="34"/>
  <c r="X392" i="34"/>
  <c r="N393" i="34"/>
  <c r="P393" i="34"/>
  <c r="Q393" i="34"/>
  <c r="S393" i="34"/>
  <c r="T393" i="34"/>
  <c r="V393" i="34"/>
  <c r="W393" i="34"/>
  <c r="X393" i="34"/>
  <c r="N394" i="34"/>
  <c r="P394" i="34"/>
  <c r="Q394" i="34"/>
  <c r="S394" i="34"/>
  <c r="T394" i="34"/>
  <c r="V394" i="34"/>
  <c r="W394" i="34"/>
  <c r="X394" i="34"/>
  <c r="N395" i="34"/>
  <c r="P395" i="34"/>
  <c r="Q395" i="34"/>
  <c r="S395" i="34"/>
  <c r="T395" i="34"/>
  <c r="V395" i="34"/>
  <c r="W395" i="34"/>
  <c r="X395" i="34"/>
  <c r="N396" i="34"/>
  <c r="P396" i="34"/>
  <c r="Q396" i="34"/>
  <c r="S396" i="34"/>
  <c r="T396" i="34"/>
  <c r="V396" i="34"/>
  <c r="W396" i="34"/>
  <c r="X396" i="34"/>
  <c r="N397" i="34"/>
  <c r="P397" i="34"/>
  <c r="Q397" i="34"/>
  <c r="S397" i="34"/>
  <c r="T397" i="34"/>
  <c r="V397" i="34"/>
  <c r="W397" i="34"/>
  <c r="X397" i="34"/>
  <c r="N398" i="34"/>
  <c r="P398" i="34"/>
  <c r="Q398" i="34"/>
  <c r="S398" i="34"/>
  <c r="T398" i="34"/>
  <c r="V398" i="34"/>
  <c r="W398" i="34"/>
  <c r="X398" i="34"/>
  <c r="N399" i="34"/>
  <c r="P399" i="34"/>
  <c r="Q399" i="34"/>
  <c r="S399" i="34"/>
  <c r="T399" i="34"/>
  <c r="V399" i="34"/>
  <c r="W399" i="34"/>
  <c r="X399" i="34"/>
  <c r="N400" i="34"/>
  <c r="P400" i="34"/>
  <c r="Q400" i="34"/>
  <c r="S400" i="34"/>
  <c r="T400" i="34"/>
  <c r="V400" i="34"/>
  <c r="W400" i="34"/>
  <c r="X400" i="34"/>
  <c r="N401" i="34"/>
  <c r="P401" i="34"/>
  <c r="Q401" i="34"/>
  <c r="S401" i="34"/>
  <c r="T401" i="34"/>
  <c r="V401" i="34"/>
  <c r="W401" i="34"/>
  <c r="X401" i="34"/>
  <c r="N402" i="34"/>
  <c r="P402" i="34"/>
  <c r="Q402" i="34"/>
  <c r="S402" i="34"/>
  <c r="T402" i="34"/>
  <c r="V402" i="34"/>
  <c r="W402" i="34"/>
  <c r="X402" i="34"/>
  <c r="N403" i="34"/>
  <c r="P403" i="34"/>
  <c r="Q403" i="34"/>
  <c r="S403" i="34"/>
  <c r="T403" i="34"/>
  <c r="V403" i="34"/>
  <c r="W403" i="34"/>
  <c r="X403" i="34"/>
  <c r="N404" i="34"/>
  <c r="P404" i="34"/>
  <c r="Q404" i="34"/>
  <c r="S404" i="34"/>
  <c r="T404" i="34"/>
  <c r="V404" i="34"/>
  <c r="W404" i="34"/>
  <c r="X404" i="34"/>
  <c r="N405" i="34"/>
  <c r="P405" i="34"/>
  <c r="Q405" i="34"/>
  <c r="S405" i="34"/>
  <c r="T405" i="34"/>
  <c r="V405" i="34"/>
  <c r="W405" i="34"/>
  <c r="X405" i="34"/>
  <c r="N406" i="34"/>
  <c r="P406" i="34"/>
  <c r="Q406" i="34"/>
  <c r="S406" i="34"/>
  <c r="T406" i="34"/>
  <c r="V406" i="34"/>
  <c r="W406" i="34"/>
  <c r="X406" i="34"/>
  <c r="N407" i="34"/>
  <c r="P407" i="34"/>
  <c r="Q407" i="34"/>
  <c r="S407" i="34"/>
  <c r="T407" i="34"/>
  <c r="V407" i="34"/>
  <c r="W407" i="34"/>
  <c r="X407" i="34"/>
  <c r="N408" i="34"/>
  <c r="P408" i="34"/>
  <c r="Q408" i="34"/>
  <c r="S408" i="34"/>
  <c r="T408" i="34"/>
  <c r="V408" i="34"/>
  <c r="W408" i="34"/>
  <c r="X408" i="34"/>
  <c r="N409" i="34"/>
  <c r="P409" i="34"/>
  <c r="Q409" i="34"/>
  <c r="S409" i="34"/>
  <c r="T409" i="34"/>
  <c r="V409" i="34"/>
  <c r="W409" i="34"/>
  <c r="X409" i="34"/>
  <c r="N410" i="34"/>
  <c r="P410" i="34"/>
  <c r="Q410" i="34"/>
  <c r="S410" i="34"/>
  <c r="T410" i="34"/>
  <c r="V410" i="34"/>
  <c r="W410" i="34"/>
  <c r="X410" i="34"/>
  <c r="N411" i="34"/>
  <c r="P411" i="34"/>
  <c r="Q411" i="34"/>
  <c r="S411" i="34"/>
  <c r="T411" i="34"/>
  <c r="V411" i="34"/>
  <c r="W411" i="34"/>
  <c r="X411" i="34"/>
  <c r="N412" i="34"/>
  <c r="P412" i="34"/>
  <c r="Q412" i="34"/>
  <c r="S412" i="34"/>
  <c r="T412" i="34"/>
  <c r="V412" i="34"/>
  <c r="W412" i="34"/>
  <c r="X412" i="34"/>
  <c r="N413" i="34"/>
  <c r="P413" i="34"/>
  <c r="Q413" i="34"/>
  <c r="S413" i="34"/>
  <c r="T413" i="34"/>
  <c r="V413" i="34"/>
  <c r="W413" i="34"/>
  <c r="X413" i="34"/>
  <c r="N414" i="34"/>
  <c r="P414" i="34"/>
  <c r="Q414" i="34"/>
  <c r="S414" i="34"/>
  <c r="T414" i="34"/>
  <c r="V414" i="34"/>
  <c r="W414" i="34"/>
  <c r="X414" i="34"/>
  <c r="N415" i="34"/>
  <c r="P415" i="34"/>
  <c r="Q415" i="34"/>
  <c r="S415" i="34"/>
  <c r="T415" i="34"/>
  <c r="V415" i="34"/>
  <c r="W415" i="34"/>
  <c r="X415" i="34"/>
  <c r="N416" i="34"/>
  <c r="P416" i="34"/>
  <c r="Q416" i="34"/>
  <c r="S416" i="34"/>
  <c r="T416" i="34"/>
  <c r="V416" i="34"/>
  <c r="W416" i="34"/>
  <c r="X416" i="34"/>
  <c r="N417" i="34"/>
  <c r="P417" i="34"/>
  <c r="Q417" i="34"/>
  <c r="S417" i="34"/>
  <c r="T417" i="34"/>
  <c r="V417" i="34"/>
  <c r="W417" i="34"/>
  <c r="X417" i="34"/>
  <c r="N418" i="34"/>
  <c r="P418" i="34"/>
  <c r="Q418" i="34"/>
  <c r="S418" i="34"/>
  <c r="T418" i="34"/>
  <c r="V418" i="34"/>
  <c r="W418" i="34"/>
  <c r="X418" i="34"/>
  <c r="N419" i="34"/>
  <c r="P419" i="34"/>
  <c r="Q419" i="34"/>
  <c r="S419" i="34"/>
  <c r="T419" i="34"/>
  <c r="V419" i="34"/>
  <c r="W419" i="34"/>
  <c r="X419" i="34"/>
  <c r="N420" i="34"/>
  <c r="P420" i="34"/>
  <c r="Q420" i="34"/>
  <c r="S420" i="34"/>
  <c r="T420" i="34"/>
  <c r="V420" i="34"/>
  <c r="W420" i="34"/>
  <c r="X420" i="34"/>
  <c r="N421" i="34"/>
  <c r="P421" i="34"/>
  <c r="Q421" i="34"/>
  <c r="S421" i="34"/>
  <c r="T421" i="34"/>
  <c r="V421" i="34"/>
  <c r="W421" i="34"/>
  <c r="X421" i="34"/>
  <c r="N422" i="34"/>
  <c r="P422" i="34"/>
  <c r="Q422" i="34"/>
  <c r="S422" i="34"/>
  <c r="T422" i="34"/>
  <c r="V422" i="34"/>
  <c r="W422" i="34"/>
  <c r="X422" i="34"/>
  <c r="N423" i="34"/>
  <c r="P423" i="34"/>
  <c r="Q423" i="34"/>
  <c r="S423" i="34"/>
  <c r="T423" i="34"/>
  <c r="V423" i="34"/>
  <c r="W423" i="34"/>
  <c r="X423" i="34"/>
  <c r="N424" i="34"/>
  <c r="P424" i="34"/>
  <c r="Q424" i="34"/>
  <c r="S424" i="34"/>
  <c r="T424" i="34"/>
  <c r="V424" i="34"/>
  <c r="W424" i="34"/>
  <c r="X424" i="34"/>
  <c r="N425" i="34"/>
  <c r="P425" i="34"/>
  <c r="Q425" i="34"/>
  <c r="S425" i="34"/>
  <c r="T425" i="34"/>
  <c r="V425" i="34"/>
  <c r="W425" i="34"/>
  <c r="X425" i="34"/>
  <c r="N426" i="34"/>
  <c r="P426" i="34"/>
  <c r="Q426" i="34"/>
  <c r="S426" i="34"/>
  <c r="T426" i="34"/>
  <c r="V426" i="34"/>
  <c r="W426" i="34"/>
  <c r="X426" i="34"/>
  <c r="N427" i="34"/>
  <c r="P427" i="34"/>
  <c r="Q427" i="34"/>
  <c r="S427" i="34"/>
  <c r="T427" i="34"/>
  <c r="V427" i="34"/>
  <c r="W427" i="34"/>
  <c r="X427" i="34"/>
  <c r="N428" i="34"/>
  <c r="P428" i="34"/>
  <c r="Q428" i="34"/>
  <c r="S428" i="34"/>
  <c r="T428" i="34"/>
  <c r="V428" i="34"/>
  <c r="W428" i="34"/>
  <c r="X428" i="34"/>
  <c r="N429" i="34"/>
  <c r="P429" i="34"/>
  <c r="Q429" i="34"/>
  <c r="S429" i="34"/>
  <c r="T429" i="34"/>
  <c r="V429" i="34"/>
  <c r="W429" i="34"/>
  <c r="X429" i="34"/>
  <c r="N430" i="34"/>
  <c r="P430" i="34"/>
  <c r="Q430" i="34"/>
  <c r="S430" i="34"/>
  <c r="T430" i="34"/>
  <c r="V430" i="34"/>
  <c r="W430" i="34"/>
  <c r="X430" i="34"/>
  <c r="N431" i="34"/>
  <c r="P431" i="34"/>
  <c r="Q431" i="34"/>
  <c r="S431" i="34"/>
  <c r="T431" i="34"/>
  <c r="V431" i="34"/>
  <c r="W431" i="34"/>
  <c r="X431" i="34"/>
  <c r="N432" i="34"/>
  <c r="P432" i="34"/>
  <c r="Q432" i="34"/>
  <c r="S432" i="34"/>
  <c r="T432" i="34"/>
  <c r="V432" i="34"/>
  <c r="W432" i="34"/>
  <c r="X432" i="34"/>
  <c r="N433" i="34"/>
  <c r="P433" i="34"/>
  <c r="Q433" i="34"/>
  <c r="S433" i="34"/>
  <c r="T433" i="34"/>
  <c r="V433" i="34"/>
  <c r="W433" i="34"/>
  <c r="X433" i="34"/>
  <c r="N434" i="34"/>
  <c r="P434" i="34"/>
  <c r="Q434" i="34"/>
  <c r="S434" i="34"/>
  <c r="T434" i="34"/>
  <c r="V434" i="34"/>
  <c r="W434" i="34"/>
  <c r="X434" i="34"/>
  <c r="N435" i="34"/>
  <c r="P435" i="34"/>
  <c r="Q435" i="34"/>
  <c r="S435" i="34"/>
  <c r="T435" i="34"/>
  <c r="V435" i="34"/>
  <c r="W435" i="34"/>
  <c r="X435" i="34"/>
  <c r="N436" i="34"/>
  <c r="P436" i="34"/>
  <c r="Q436" i="34"/>
  <c r="S436" i="34"/>
  <c r="T436" i="34"/>
  <c r="V436" i="34"/>
  <c r="W436" i="34"/>
  <c r="X436" i="34"/>
  <c r="N437" i="34"/>
  <c r="P437" i="34"/>
  <c r="Q437" i="34"/>
  <c r="S437" i="34"/>
  <c r="T437" i="34"/>
  <c r="V437" i="34"/>
  <c r="W437" i="34"/>
  <c r="X437" i="34"/>
  <c r="N438" i="34"/>
  <c r="P438" i="34"/>
  <c r="Q438" i="34"/>
  <c r="S438" i="34"/>
  <c r="T438" i="34"/>
  <c r="V438" i="34"/>
  <c r="W438" i="34"/>
  <c r="X438" i="34"/>
  <c r="N439" i="34"/>
  <c r="P439" i="34"/>
  <c r="Q439" i="34"/>
  <c r="S439" i="34"/>
  <c r="T439" i="34"/>
  <c r="V439" i="34"/>
  <c r="W439" i="34"/>
  <c r="X439" i="34"/>
  <c r="N440" i="34"/>
  <c r="P440" i="34"/>
  <c r="Q440" i="34"/>
  <c r="S440" i="34"/>
  <c r="T440" i="34"/>
  <c r="V440" i="34"/>
  <c r="W440" i="34"/>
  <c r="X440" i="34"/>
  <c r="N441" i="34"/>
  <c r="P441" i="34"/>
  <c r="Q441" i="34"/>
  <c r="S441" i="34"/>
  <c r="T441" i="34"/>
  <c r="V441" i="34"/>
  <c r="W441" i="34"/>
  <c r="X441" i="34"/>
  <c r="N442" i="34"/>
  <c r="P442" i="34"/>
  <c r="Q442" i="34"/>
  <c r="S442" i="34"/>
  <c r="T442" i="34"/>
  <c r="V442" i="34"/>
  <c r="W442" i="34"/>
  <c r="X442" i="34"/>
  <c r="N443" i="34"/>
  <c r="P443" i="34"/>
  <c r="Q443" i="34"/>
  <c r="S443" i="34"/>
  <c r="T443" i="34"/>
  <c r="V443" i="34"/>
  <c r="W443" i="34"/>
  <c r="X443" i="34"/>
  <c r="N444" i="34"/>
  <c r="P444" i="34"/>
  <c r="Q444" i="34"/>
  <c r="S444" i="34"/>
  <c r="T444" i="34"/>
  <c r="V444" i="34"/>
  <c r="W444" i="34"/>
  <c r="X444" i="34"/>
  <c r="N445" i="34"/>
  <c r="P445" i="34"/>
  <c r="Q445" i="34"/>
  <c r="S445" i="34"/>
  <c r="T445" i="34"/>
  <c r="V445" i="34"/>
  <c r="W445" i="34"/>
  <c r="X445" i="34"/>
  <c r="N446" i="34"/>
  <c r="P446" i="34"/>
  <c r="Q446" i="34"/>
  <c r="S446" i="34"/>
  <c r="T446" i="34"/>
  <c r="V446" i="34"/>
  <c r="W446" i="34"/>
  <c r="X446" i="34"/>
  <c r="N447" i="34"/>
  <c r="P447" i="34"/>
  <c r="Q447" i="34"/>
  <c r="S447" i="34"/>
  <c r="T447" i="34"/>
  <c r="V447" i="34"/>
  <c r="W447" i="34"/>
  <c r="X447" i="34"/>
  <c r="N448" i="34"/>
  <c r="P448" i="34"/>
  <c r="Q448" i="34"/>
  <c r="S448" i="34"/>
  <c r="T448" i="34"/>
  <c r="V448" i="34"/>
  <c r="W448" i="34"/>
  <c r="X448" i="34"/>
  <c r="N449" i="34"/>
  <c r="P449" i="34"/>
  <c r="Q449" i="34"/>
  <c r="S449" i="34"/>
  <c r="T449" i="34"/>
  <c r="V449" i="34"/>
  <c r="W449" i="34"/>
  <c r="X449" i="34"/>
  <c r="N450" i="34"/>
  <c r="P450" i="34"/>
  <c r="Q450" i="34"/>
  <c r="S450" i="34"/>
  <c r="T450" i="34"/>
  <c r="V450" i="34"/>
  <c r="W450" i="34"/>
  <c r="X450" i="34"/>
  <c r="N451" i="34"/>
  <c r="P451" i="34"/>
  <c r="Q451" i="34"/>
  <c r="S451" i="34"/>
  <c r="T451" i="34"/>
  <c r="V451" i="34"/>
  <c r="W451" i="34"/>
  <c r="X451" i="34"/>
  <c r="N452" i="34"/>
  <c r="P452" i="34"/>
  <c r="Q452" i="34"/>
  <c r="S452" i="34"/>
  <c r="T452" i="34"/>
  <c r="V452" i="34"/>
  <c r="W452" i="34"/>
  <c r="X452" i="34"/>
  <c r="N453" i="34"/>
  <c r="P453" i="34"/>
  <c r="Q453" i="34"/>
  <c r="S453" i="34"/>
  <c r="T453" i="34"/>
  <c r="V453" i="34"/>
  <c r="W453" i="34"/>
  <c r="X453" i="34"/>
  <c r="N454" i="34"/>
  <c r="P454" i="34"/>
  <c r="Q454" i="34"/>
  <c r="S454" i="34"/>
  <c r="T454" i="34"/>
  <c r="V454" i="34"/>
  <c r="W454" i="34"/>
  <c r="X454" i="34"/>
  <c r="N455" i="34"/>
  <c r="P455" i="34"/>
  <c r="Q455" i="34"/>
  <c r="S455" i="34"/>
  <c r="T455" i="34"/>
  <c r="V455" i="34"/>
  <c r="W455" i="34"/>
  <c r="X455" i="34"/>
  <c r="N456" i="34"/>
  <c r="P456" i="34"/>
  <c r="Q456" i="34"/>
  <c r="S456" i="34"/>
  <c r="T456" i="34"/>
  <c r="V456" i="34"/>
  <c r="W456" i="34"/>
  <c r="X456" i="34"/>
  <c r="N457" i="34"/>
  <c r="P457" i="34"/>
  <c r="Q457" i="34"/>
  <c r="S457" i="34"/>
  <c r="T457" i="34"/>
  <c r="V457" i="34"/>
  <c r="W457" i="34"/>
  <c r="X457" i="34"/>
  <c r="N458" i="34"/>
  <c r="P458" i="34"/>
  <c r="Q458" i="34"/>
  <c r="S458" i="34"/>
  <c r="T458" i="34"/>
  <c r="V458" i="34"/>
  <c r="W458" i="34"/>
  <c r="X458" i="34"/>
  <c r="N459" i="34"/>
  <c r="P459" i="34"/>
  <c r="Q459" i="34"/>
  <c r="S459" i="34"/>
  <c r="T459" i="34"/>
  <c r="V459" i="34"/>
  <c r="W459" i="34"/>
  <c r="X459" i="34"/>
  <c r="N460" i="34"/>
  <c r="P460" i="34"/>
  <c r="Q460" i="34"/>
  <c r="S460" i="34"/>
  <c r="T460" i="34"/>
  <c r="V460" i="34"/>
  <c r="W460" i="34"/>
  <c r="X460" i="34"/>
  <c r="N461" i="34"/>
  <c r="P461" i="34"/>
  <c r="Q461" i="34"/>
  <c r="S461" i="34"/>
  <c r="T461" i="34"/>
  <c r="V461" i="34"/>
  <c r="W461" i="34"/>
  <c r="X461" i="34"/>
  <c r="N462" i="34"/>
  <c r="P462" i="34"/>
  <c r="Q462" i="34"/>
  <c r="S462" i="34"/>
  <c r="T462" i="34"/>
  <c r="V462" i="34"/>
  <c r="W462" i="34"/>
  <c r="X462" i="34"/>
  <c r="N463" i="34"/>
  <c r="P463" i="34"/>
  <c r="Q463" i="34"/>
  <c r="S463" i="34"/>
  <c r="T463" i="34"/>
  <c r="V463" i="34"/>
  <c r="W463" i="34"/>
  <c r="X463" i="34"/>
  <c r="N464" i="34"/>
  <c r="P464" i="34"/>
  <c r="Q464" i="34"/>
  <c r="S464" i="34"/>
  <c r="T464" i="34"/>
  <c r="V464" i="34"/>
  <c r="W464" i="34"/>
  <c r="X464" i="34"/>
  <c r="N465" i="34"/>
  <c r="P465" i="34"/>
  <c r="Q465" i="34"/>
  <c r="S465" i="34"/>
  <c r="T465" i="34"/>
  <c r="V465" i="34"/>
  <c r="W465" i="34"/>
  <c r="X465" i="34"/>
  <c r="N466" i="34"/>
  <c r="P466" i="34"/>
  <c r="Q466" i="34"/>
  <c r="S466" i="34"/>
  <c r="T466" i="34"/>
  <c r="V466" i="34"/>
  <c r="W466" i="34"/>
  <c r="X466" i="34"/>
  <c r="N467" i="34"/>
  <c r="P467" i="34"/>
  <c r="Q467" i="34"/>
  <c r="S467" i="34"/>
  <c r="T467" i="34"/>
  <c r="V467" i="34"/>
  <c r="W467" i="34"/>
  <c r="X467" i="34"/>
  <c r="N468" i="34"/>
  <c r="P468" i="34"/>
  <c r="Q468" i="34"/>
  <c r="S468" i="34"/>
  <c r="T468" i="34"/>
  <c r="V468" i="34"/>
  <c r="W468" i="34"/>
  <c r="X468" i="34"/>
  <c r="N469" i="34"/>
  <c r="P469" i="34"/>
  <c r="Q469" i="34"/>
  <c r="S469" i="34"/>
  <c r="T469" i="34"/>
  <c r="V469" i="34"/>
  <c r="W469" i="34"/>
  <c r="X469" i="34"/>
  <c r="N470" i="34"/>
  <c r="P470" i="34"/>
  <c r="Q470" i="34"/>
  <c r="S470" i="34"/>
  <c r="T470" i="34"/>
  <c r="V470" i="34"/>
  <c r="W470" i="34"/>
  <c r="X470" i="34"/>
  <c r="N471" i="34"/>
  <c r="P471" i="34"/>
  <c r="Q471" i="34"/>
  <c r="S471" i="34"/>
  <c r="T471" i="34"/>
  <c r="V471" i="34"/>
  <c r="W471" i="34"/>
  <c r="X471" i="34"/>
  <c r="N472" i="34"/>
  <c r="P472" i="34"/>
  <c r="Q472" i="34"/>
  <c r="S472" i="34"/>
  <c r="T472" i="34"/>
  <c r="V472" i="34"/>
  <c r="W472" i="34"/>
  <c r="X472" i="34"/>
  <c r="N473" i="34"/>
  <c r="P473" i="34"/>
  <c r="Q473" i="34"/>
  <c r="S473" i="34"/>
  <c r="T473" i="34"/>
  <c r="V473" i="34"/>
  <c r="W473" i="34"/>
  <c r="X473" i="34"/>
  <c r="N474" i="34"/>
  <c r="P474" i="34"/>
  <c r="Q474" i="34"/>
  <c r="S474" i="34"/>
  <c r="T474" i="34"/>
  <c r="V474" i="34"/>
  <c r="W474" i="34"/>
  <c r="X474" i="34"/>
  <c r="N475" i="34"/>
  <c r="P475" i="34"/>
  <c r="Q475" i="34"/>
  <c r="S475" i="34"/>
  <c r="T475" i="34"/>
  <c r="V475" i="34"/>
  <c r="W475" i="34"/>
  <c r="X475" i="34"/>
  <c r="N476" i="34"/>
  <c r="P476" i="34"/>
  <c r="Q476" i="34"/>
  <c r="S476" i="34"/>
  <c r="T476" i="34"/>
  <c r="V476" i="34"/>
  <c r="W476" i="34"/>
  <c r="X476" i="34"/>
  <c r="N477" i="34"/>
  <c r="P477" i="34"/>
  <c r="Q477" i="34"/>
  <c r="S477" i="34"/>
  <c r="T477" i="34"/>
  <c r="V477" i="34"/>
  <c r="W477" i="34"/>
  <c r="X477" i="34"/>
  <c r="N478" i="34"/>
  <c r="P478" i="34"/>
  <c r="Q478" i="34"/>
  <c r="S478" i="34"/>
  <c r="T478" i="34"/>
  <c r="V478" i="34"/>
  <c r="W478" i="34"/>
  <c r="X478" i="34"/>
  <c r="N479" i="34"/>
  <c r="P479" i="34"/>
  <c r="Q479" i="34"/>
  <c r="S479" i="34"/>
  <c r="T479" i="34"/>
  <c r="V479" i="34"/>
  <c r="W479" i="34"/>
  <c r="X479" i="34"/>
  <c r="N480" i="34"/>
  <c r="P480" i="34"/>
  <c r="Q480" i="34"/>
  <c r="S480" i="34"/>
  <c r="T480" i="34"/>
  <c r="V480" i="34"/>
  <c r="W480" i="34"/>
  <c r="X480" i="34"/>
  <c r="N481" i="34"/>
  <c r="P481" i="34"/>
  <c r="Q481" i="34"/>
  <c r="S481" i="34"/>
  <c r="T481" i="34"/>
  <c r="V481" i="34"/>
  <c r="W481" i="34"/>
  <c r="X481" i="34"/>
  <c r="N482" i="34"/>
  <c r="P482" i="34"/>
  <c r="Q482" i="34"/>
  <c r="S482" i="34"/>
  <c r="T482" i="34"/>
  <c r="V482" i="34"/>
  <c r="W482" i="34"/>
  <c r="X482" i="34"/>
  <c r="N483" i="34"/>
  <c r="P483" i="34"/>
  <c r="Q483" i="34"/>
  <c r="S483" i="34"/>
  <c r="T483" i="34"/>
  <c r="V483" i="34"/>
  <c r="W483" i="34"/>
  <c r="X483" i="34"/>
  <c r="N484" i="34"/>
  <c r="P484" i="34"/>
  <c r="Q484" i="34"/>
  <c r="S484" i="34"/>
  <c r="T484" i="34"/>
  <c r="V484" i="34"/>
  <c r="W484" i="34"/>
  <c r="X484" i="34"/>
  <c r="N485" i="34"/>
  <c r="P485" i="34"/>
  <c r="Q485" i="34"/>
  <c r="S485" i="34"/>
  <c r="T485" i="34"/>
  <c r="V485" i="34"/>
  <c r="W485" i="34"/>
  <c r="X485" i="34"/>
  <c r="N486" i="34"/>
  <c r="P486" i="34"/>
  <c r="Q486" i="34"/>
  <c r="S486" i="34"/>
  <c r="T486" i="34"/>
  <c r="V486" i="34"/>
  <c r="W486" i="34"/>
  <c r="X486" i="34"/>
  <c r="N487" i="34"/>
  <c r="P487" i="34"/>
  <c r="Q487" i="34"/>
  <c r="S487" i="34"/>
  <c r="T487" i="34"/>
  <c r="V487" i="34"/>
  <c r="W487" i="34"/>
  <c r="X487" i="34"/>
  <c r="N488" i="34"/>
  <c r="P488" i="34"/>
  <c r="Q488" i="34"/>
  <c r="S488" i="34"/>
  <c r="T488" i="34"/>
  <c r="V488" i="34"/>
  <c r="W488" i="34"/>
  <c r="X488" i="34"/>
  <c r="N489" i="34"/>
  <c r="P489" i="34"/>
  <c r="Q489" i="34"/>
  <c r="S489" i="34"/>
  <c r="T489" i="34"/>
  <c r="V489" i="34"/>
  <c r="W489" i="34"/>
  <c r="X489" i="34"/>
  <c r="N490" i="34"/>
  <c r="P490" i="34"/>
  <c r="Q490" i="34"/>
  <c r="S490" i="34"/>
  <c r="T490" i="34"/>
  <c r="V490" i="34"/>
  <c r="W490" i="34"/>
  <c r="X490" i="34"/>
  <c r="N491" i="34"/>
  <c r="P491" i="34"/>
  <c r="Q491" i="34"/>
  <c r="S491" i="34"/>
  <c r="T491" i="34"/>
  <c r="V491" i="34"/>
  <c r="W491" i="34"/>
  <c r="X491" i="34"/>
  <c r="N492" i="34"/>
  <c r="P492" i="34"/>
  <c r="Q492" i="34"/>
  <c r="S492" i="34"/>
  <c r="T492" i="34"/>
  <c r="V492" i="34"/>
  <c r="W492" i="34"/>
  <c r="X492" i="34"/>
  <c r="N493" i="34"/>
  <c r="P493" i="34"/>
  <c r="Q493" i="34"/>
  <c r="S493" i="34"/>
  <c r="T493" i="34"/>
  <c r="V493" i="34"/>
  <c r="W493" i="34"/>
  <c r="X493" i="34"/>
  <c r="N494" i="34"/>
  <c r="P494" i="34"/>
  <c r="Q494" i="34"/>
  <c r="S494" i="34"/>
  <c r="T494" i="34"/>
  <c r="F494" i="34"/>
  <c r="V494" i="34" s="1"/>
  <c r="X494" i="34"/>
  <c r="N495" i="34"/>
  <c r="P495" i="34"/>
  <c r="Q495" i="34"/>
  <c r="S495" i="34"/>
  <c r="T495" i="34"/>
  <c r="V495" i="34"/>
  <c r="W495" i="34"/>
  <c r="X495" i="34"/>
  <c r="N496" i="34"/>
  <c r="P496" i="34"/>
  <c r="Q496" i="34"/>
  <c r="S496" i="34"/>
  <c r="T496" i="34"/>
  <c r="V496" i="34"/>
  <c r="W496" i="34"/>
  <c r="X496" i="34"/>
  <c r="N497" i="34"/>
  <c r="P497" i="34"/>
  <c r="Q497" i="34"/>
  <c r="S497" i="34"/>
  <c r="T497" i="34"/>
  <c r="V497" i="34"/>
  <c r="W497" i="34"/>
  <c r="X497" i="34"/>
  <c r="N498" i="34"/>
  <c r="P498" i="34"/>
  <c r="Q498" i="34"/>
  <c r="S498" i="34"/>
  <c r="T498" i="34"/>
  <c r="V498" i="34"/>
  <c r="W498" i="34"/>
  <c r="X498" i="34"/>
  <c r="N499" i="34"/>
  <c r="P499" i="34"/>
  <c r="Q499" i="34"/>
  <c r="S499" i="34"/>
  <c r="T499" i="34"/>
  <c r="V499" i="34"/>
  <c r="W499" i="34"/>
  <c r="X499" i="34"/>
  <c r="N500" i="34"/>
  <c r="P500" i="34"/>
  <c r="Q500" i="34"/>
  <c r="S500" i="34"/>
  <c r="T500" i="34"/>
  <c r="V500" i="34"/>
  <c r="W500" i="34"/>
  <c r="X500" i="34"/>
  <c r="N501" i="34"/>
  <c r="P501" i="34"/>
  <c r="Q501" i="34"/>
  <c r="S501" i="34"/>
  <c r="T501" i="34"/>
  <c r="V501" i="34"/>
  <c r="W501" i="34"/>
  <c r="X501" i="34"/>
  <c r="N502" i="34"/>
  <c r="P502" i="34"/>
  <c r="Q502" i="34"/>
  <c r="S502" i="34"/>
  <c r="T502" i="34"/>
  <c r="V502" i="34"/>
  <c r="W502" i="34"/>
  <c r="X502" i="34"/>
  <c r="N503" i="34"/>
  <c r="P503" i="34"/>
  <c r="Q503" i="34"/>
  <c r="S503" i="34"/>
  <c r="T503" i="34"/>
  <c r="V503" i="34"/>
  <c r="W503" i="34"/>
  <c r="X503" i="34"/>
  <c r="N504" i="34"/>
  <c r="P504" i="34"/>
  <c r="Q504" i="34"/>
  <c r="S504" i="34"/>
  <c r="T504" i="34"/>
  <c r="V504" i="34"/>
  <c r="W504" i="34"/>
  <c r="X504" i="34"/>
  <c r="N505" i="34"/>
  <c r="P505" i="34"/>
  <c r="Q505" i="34"/>
  <c r="S505" i="34"/>
  <c r="T505" i="34"/>
  <c r="V505" i="34"/>
  <c r="W505" i="34"/>
  <c r="X505" i="34"/>
  <c r="N506" i="34"/>
  <c r="P506" i="34"/>
  <c r="Q506" i="34"/>
  <c r="S506" i="34"/>
  <c r="T506" i="34"/>
  <c r="V506" i="34"/>
  <c r="W506" i="34"/>
  <c r="X506" i="34"/>
  <c r="N507" i="34"/>
  <c r="P507" i="34"/>
  <c r="Q507" i="34"/>
  <c r="S507" i="34"/>
  <c r="T507" i="34"/>
  <c r="V507" i="34"/>
  <c r="W507" i="34"/>
  <c r="X507" i="34"/>
  <c r="N508" i="34"/>
  <c r="P508" i="34"/>
  <c r="Q508" i="34"/>
  <c r="S508" i="34"/>
  <c r="T508" i="34"/>
  <c r="V508" i="34"/>
  <c r="W508" i="34"/>
  <c r="X508" i="34"/>
  <c r="N509" i="34"/>
  <c r="P509" i="34"/>
  <c r="Q509" i="34"/>
  <c r="S509" i="34"/>
  <c r="T509" i="34"/>
  <c r="V509" i="34"/>
  <c r="W509" i="34"/>
  <c r="X509" i="34"/>
  <c r="N510" i="34"/>
  <c r="P510" i="34"/>
  <c r="Q510" i="34"/>
  <c r="S510" i="34"/>
  <c r="T510" i="34"/>
  <c r="V510" i="34"/>
  <c r="W510" i="34"/>
  <c r="X510" i="34"/>
  <c r="N511" i="34"/>
  <c r="P511" i="34"/>
  <c r="Q511" i="34"/>
  <c r="S511" i="34"/>
  <c r="T511" i="34"/>
  <c r="V511" i="34"/>
  <c r="W511" i="34"/>
  <c r="X511" i="34"/>
  <c r="N512" i="34"/>
  <c r="P512" i="34"/>
  <c r="Q512" i="34"/>
  <c r="S512" i="34"/>
  <c r="T512" i="34"/>
  <c r="V512" i="34"/>
  <c r="W512" i="34"/>
  <c r="X512" i="34"/>
  <c r="N513" i="34"/>
  <c r="P513" i="34"/>
  <c r="Q513" i="34"/>
  <c r="S513" i="34"/>
  <c r="T513" i="34"/>
  <c r="V513" i="34"/>
  <c r="W513" i="34"/>
  <c r="X513" i="34"/>
  <c r="N514" i="34"/>
  <c r="P514" i="34"/>
  <c r="Q514" i="34"/>
  <c r="S514" i="34"/>
  <c r="T514" i="34"/>
  <c r="V514" i="34"/>
  <c r="W514" i="34"/>
  <c r="X514" i="34"/>
  <c r="N515" i="34"/>
  <c r="P515" i="34"/>
  <c r="Q515" i="34"/>
  <c r="S515" i="34"/>
  <c r="T515" i="34"/>
  <c r="V515" i="34"/>
  <c r="W515" i="34"/>
  <c r="X515" i="34"/>
  <c r="N516" i="34"/>
  <c r="P516" i="34"/>
  <c r="Q516" i="34"/>
  <c r="S516" i="34"/>
  <c r="T516" i="34"/>
  <c r="V516" i="34"/>
  <c r="W516" i="34"/>
  <c r="X516" i="34"/>
  <c r="N517" i="34"/>
  <c r="P517" i="34"/>
  <c r="Q517" i="34"/>
  <c r="S517" i="34"/>
  <c r="T517" i="34"/>
  <c r="V517" i="34"/>
  <c r="W517" i="34"/>
  <c r="X517" i="34"/>
  <c r="N518" i="34"/>
  <c r="P518" i="34"/>
  <c r="Q518" i="34"/>
  <c r="S518" i="34"/>
  <c r="T518" i="34"/>
  <c r="V518" i="34"/>
  <c r="W518" i="34"/>
  <c r="X518" i="34"/>
  <c r="N519" i="34"/>
  <c r="P519" i="34"/>
  <c r="Q519" i="34"/>
  <c r="S519" i="34"/>
  <c r="T519" i="34"/>
  <c r="V519" i="34"/>
  <c r="W519" i="34"/>
  <c r="X519" i="34"/>
  <c r="N520" i="34"/>
  <c r="P520" i="34"/>
  <c r="Q520" i="34"/>
  <c r="S520" i="34"/>
  <c r="T520" i="34"/>
  <c r="V520" i="34"/>
  <c r="W520" i="34"/>
  <c r="X520" i="34"/>
  <c r="N521" i="34"/>
  <c r="P521" i="34"/>
  <c r="Q521" i="34"/>
  <c r="S521" i="34"/>
  <c r="T521" i="34"/>
  <c r="V521" i="34"/>
  <c r="W521" i="34"/>
  <c r="X521" i="34"/>
  <c r="N522" i="34"/>
  <c r="P522" i="34"/>
  <c r="Q522" i="34"/>
  <c r="S522" i="34"/>
  <c r="T522" i="34"/>
  <c r="V522" i="34"/>
  <c r="W522" i="34"/>
  <c r="X522" i="34"/>
  <c r="N523" i="34"/>
  <c r="P523" i="34"/>
  <c r="Q523" i="34"/>
  <c r="S523" i="34"/>
  <c r="T523" i="34"/>
  <c r="V523" i="34"/>
  <c r="W523" i="34"/>
  <c r="X523" i="34"/>
  <c r="N524" i="34"/>
  <c r="P524" i="34"/>
  <c r="Q524" i="34"/>
  <c r="S524" i="34"/>
  <c r="T524" i="34"/>
  <c r="V524" i="34"/>
  <c r="W524" i="34"/>
  <c r="X524" i="34"/>
  <c r="N525" i="34"/>
  <c r="P525" i="34"/>
  <c r="Q525" i="34"/>
  <c r="S525" i="34"/>
  <c r="T525" i="34"/>
  <c r="V525" i="34"/>
  <c r="W525" i="34"/>
  <c r="X525" i="34"/>
  <c r="N526" i="34"/>
  <c r="P526" i="34"/>
  <c r="Q526" i="34"/>
  <c r="S526" i="34"/>
  <c r="T526" i="34"/>
  <c r="V526" i="34"/>
  <c r="W526" i="34"/>
  <c r="X526" i="34"/>
  <c r="N527" i="34"/>
  <c r="P527" i="34"/>
  <c r="Q527" i="34"/>
  <c r="S527" i="34"/>
  <c r="T527" i="34"/>
  <c r="V527" i="34"/>
  <c r="W527" i="34"/>
  <c r="X527" i="34"/>
  <c r="N528" i="34"/>
  <c r="P528" i="34"/>
  <c r="Q528" i="34"/>
  <c r="S528" i="34"/>
  <c r="T528" i="34"/>
  <c r="V528" i="34"/>
  <c r="W528" i="34"/>
  <c r="X528" i="34"/>
  <c r="N529" i="34"/>
  <c r="P529" i="34"/>
  <c r="Q529" i="34"/>
  <c r="S529" i="34"/>
  <c r="T529" i="34"/>
  <c r="V529" i="34"/>
  <c r="W529" i="34"/>
  <c r="X529" i="34"/>
  <c r="N530" i="34"/>
  <c r="P530" i="34"/>
  <c r="Q530" i="34"/>
  <c r="S530" i="34"/>
  <c r="T530" i="34"/>
  <c r="V530" i="34"/>
  <c r="W530" i="34"/>
  <c r="X530" i="34"/>
  <c r="N531" i="34"/>
  <c r="P531" i="34"/>
  <c r="Q531" i="34"/>
  <c r="S531" i="34"/>
  <c r="T531" i="34"/>
  <c r="V531" i="34"/>
  <c r="W531" i="34"/>
  <c r="X531" i="34"/>
  <c r="N532" i="34"/>
  <c r="P532" i="34"/>
  <c r="Q532" i="34"/>
  <c r="S532" i="34"/>
  <c r="T532" i="34"/>
  <c r="V532" i="34"/>
  <c r="W532" i="34"/>
  <c r="X532" i="34"/>
  <c r="N533" i="34"/>
  <c r="P533" i="34"/>
  <c r="Q533" i="34"/>
  <c r="S533" i="34"/>
  <c r="T533" i="34"/>
  <c r="V533" i="34"/>
  <c r="W533" i="34"/>
  <c r="X533" i="34"/>
  <c r="N534" i="34"/>
  <c r="P534" i="34"/>
  <c r="Q534" i="34"/>
  <c r="S534" i="34"/>
  <c r="T534" i="34"/>
  <c r="V534" i="34"/>
  <c r="W534" i="34"/>
  <c r="X534" i="34"/>
  <c r="N535" i="34"/>
  <c r="P535" i="34"/>
  <c r="Q535" i="34"/>
  <c r="S535" i="34"/>
  <c r="T535" i="34"/>
  <c r="V535" i="34"/>
  <c r="W535" i="34"/>
  <c r="X535" i="34"/>
  <c r="N536" i="34"/>
  <c r="P536" i="34"/>
  <c r="V536" i="34"/>
  <c r="W536" i="34"/>
  <c r="X536" i="34"/>
  <c r="N537" i="34"/>
  <c r="P537" i="34"/>
  <c r="Q537" i="34"/>
  <c r="S537" i="34"/>
  <c r="T537" i="34"/>
  <c r="V537" i="34"/>
  <c r="W537" i="34"/>
  <c r="X537" i="34"/>
  <c r="N538" i="34"/>
  <c r="P538" i="34"/>
  <c r="Q538" i="34"/>
  <c r="S538" i="34"/>
  <c r="T538" i="34"/>
  <c r="V538" i="34"/>
  <c r="W538" i="34"/>
  <c r="X538" i="34"/>
  <c r="N539" i="34"/>
  <c r="P539" i="34"/>
  <c r="Q539" i="34"/>
  <c r="S539" i="34"/>
  <c r="T539" i="34"/>
  <c r="V539" i="34"/>
  <c r="W539" i="34"/>
  <c r="X539" i="34"/>
  <c r="N540" i="34"/>
  <c r="P540" i="34"/>
  <c r="Q540" i="34"/>
  <c r="S540" i="34"/>
  <c r="T540" i="34"/>
  <c r="V540" i="34"/>
  <c r="W540" i="34"/>
  <c r="X540" i="34"/>
  <c r="N541" i="34"/>
  <c r="P541" i="34"/>
  <c r="Q541" i="34"/>
  <c r="S541" i="34"/>
  <c r="T541" i="34"/>
  <c r="V541" i="34"/>
  <c r="W541" i="34"/>
  <c r="X541" i="34"/>
  <c r="N542" i="34"/>
  <c r="P542" i="34"/>
  <c r="Q542" i="34"/>
  <c r="S542" i="34"/>
  <c r="T542" i="34"/>
  <c r="V542" i="34"/>
  <c r="W542" i="34"/>
  <c r="X542" i="34"/>
  <c r="N543" i="34"/>
  <c r="P543" i="34"/>
  <c r="Q543" i="34"/>
  <c r="S543" i="34"/>
  <c r="T543" i="34"/>
  <c r="V543" i="34"/>
  <c r="W543" i="34"/>
  <c r="X543" i="34"/>
  <c r="N544" i="34"/>
  <c r="V544" i="34"/>
  <c r="W544" i="34"/>
  <c r="X544" i="34"/>
  <c r="N545" i="34"/>
  <c r="P545" i="34"/>
  <c r="Q545" i="34"/>
  <c r="S545" i="34"/>
  <c r="T545" i="34"/>
  <c r="V545" i="34"/>
  <c r="W545" i="34"/>
  <c r="X545" i="34"/>
  <c r="N546" i="34"/>
  <c r="V546" i="34"/>
  <c r="W546" i="34"/>
  <c r="X546" i="34"/>
  <c r="N547" i="34"/>
  <c r="P547" i="34"/>
  <c r="Q547" i="34"/>
  <c r="S547" i="34"/>
  <c r="T547" i="34"/>
  <c r="V547" i="34"/>
  <c r="W547" i="34"/>
  <c r="X547" i="34"/>
  <c r="N548" i="34"/>
  <c r="P548" i="34"/>
  <c r="Q548" i="34"/>
  <c r="S548" i="34"/>
  <c r="T548" i="34"/>
  <c r="V548" i="34"/>
  <c r="W548" i="34"/>
  <c r="X548" i="34"/>
  <c r="N549" i="34"/>
  <c r="P549" i="34"/>
  <c r="Q549" i="34"/>
  <c r="S549" i="34"/>
  <c r="T549" i="34"/>
  <c r="V549" i="34"/>
  <c r="W549" i="34"/>
  <c r="X549" i="34"/>
  <c r="N550" i="34"/>
  <c r="P550" i="34"/>
  <c r="Q550" i="34"/>
  <c r="S550" i="34"/>
  <c r="T550" i="34"/>
  <c r="V550" i="34"/>
  <c r="W550" i="34"/>
  <c r="X550" i="34"/>
  <c r="N551" i="34"/>
  <c r="P551" i="34"/>
  <c r="Q551" i="34"/>
  <c r="S551" i="34"/>
  <c r="T551" i="34"/>
  <c r="V551" i="34"/>
  <c r="W551" i="34"/>
  <c r="X551" i="34"/>
  <c r="N552" i="34"/>
  <c r="P552" i="34"/>
  <c r="Q552" i="34"/>
  <c r="S552" i="34"/>
  <c r="T552" i="34"/>
  <c r="V552" i="34"/>
  <c r="W552" i="34"/>
  <c r="X552" i="34"/>
  <c r="N553" i="34"/>
  <c r="P553" i="34"/>
  <c r="Q553" i="34"/>
  <c r="S553" i="34"/>
  <c r="T553" i="34"/>
  <c r="V553" i="34"/>
  <c r="W553" i="34"/>
  <c r="X553" i="34"/>
  <c r="N554" i="34"/>
  <c r="V554" i="34"/>
  <c r="W554" i="34"/>
  <c r="X554" i="34"/>
  <c r="N555" i="34"/>
  <c r="P555" i="34"/>
  <c r="Q555" i="34"/>
  <c r="S555" i="34"/>
  <c r="T555" i="34"/>
  <c r="V555" i="34"/>
  <c r="W555" i="34"/>
  <c r="X555" i="34"/>
  <c r="N556" i="34"/>
  <c r="P556" i="34"/>
  <c r="Q556" i="34"/>
  <c r="S556" i="34"/>
  <c r="T556" i="34"/>
  <c r="V556" i="34"/>
  <c r="W556" i="34"/>
  <c r="X556" i="34"/>
  <c r="N557" i="34"/>
  <c r="V557" i="34"/>
  <c r="W557" i="34"/>
  <c r="X557" i="34"/>
  <c r="N558" i="34"/>
  <c r="P558" i="34"/>
  <c r="Q558" i="34"/>
  <c r="S558" i="34"/>
  <c r="T558" i="34"/>
  <c r="V558" i="34"/>
  <c r="W558" i="34"/>
  <c r="X558" i="34"/>
  <c r="N559" i="34"/>
  <c r="P559" i="34"/>
  <c r="Q559" i="34"/>
  <c r="S559" i="34"/>
  <c r="T559" i="34"/>
  <c r="V559" i="34"/>
  <c r="W559" i="34"/>
  <c r="X559" i="34"/>
  <c r="N560" i="34"/>
  <c r="P560" i="34"/>
  <c r="Q560" i="34"/>
  <c r="S560" i="34"/>
  <c r="T560" i="34"/>
  <c r="V560" i="34"/>
  <c r="W560" i="34"/>
  <c r="X560" i="34"/>
  <c r="N561" i="34"/>
  <c r="P561" i="34"/>
  <c r="Q561" i="34"/>
  <c r="S561" i="34"/>
  <c r="T561" i="34"/>
  <c r="V561" i="34"/>
  <c r="W561" i="34"/>
  <c r="X561" i="34"/>
  <c r="N562" i="34"/>
  <c r="P562" i="34"/>
  <c r="Q562" i="34"/>
  <c r="S562" i="34"/>
  <c r="T562" i="34"/>
  <c r="V562" i="34"/>
  <c r="W562" i="34"/>
  <c r="X562" i="34"/>
  <c r="N563" i="34"/>
  <c r="P563" i="34"/>
  <c r="Q563" i="34"/>
  <c r="S563" i="34"/>
  <c r="T563" i="34"/>
  <c r="V563" i="34"/>
  <c r="W563" i="34"/>
  <c r="X563" i="34"/>
  <c r="N564" i="34"/>
  <c r="P564" i="34"/>
  <c r="Q564" i="34"/>
  <c r="S564" i="34"/>
  <c r="T564" i="34"/>
  <c r="V564" i="34"/>
  <c r="W564" i="34"/>
  <c r="X564" i="34"/>
  <c r="N565" i="34"/>
  <c r="P565" i="34"/>
  <c r="Q565" i="34"/>
  <c r="S565" i="34"/>
  <c r="T565" i="34"/>
  <c r="V565" i="34"/>
  <c r="W565" i="34"/>
  <c r="X565" i="34"/>
  <c r="N566" i="34"/>
  <c r="P566" i="34"/>
  <c r="Q566" i="34"/>
  <c r="S566" i="34"/>
  <c r="T566" i="34"/>
  <c r="V566" i="34"/>
  <c r="W566" i="34"/>
  <c r="X566" i="34"/>
  <c r="N567" i="34"/>
  <c r="P567" i="34"/>
  <c r="Q567" i="34"/>
  <c r="S567" i="34"/>
  <c r="T567" i="34"/>
  <c r="V567" i="34"/>
  <c r="W567" i="34"/>
  <c r="X567" i="34"/>
  <c r="N568" i="34"/>
  <c r="P568" i="34"/>
  <c r="Q568" i="34"/>
  <c r="S568" i="34"/>
  <c r="T568" i="34"/>
  <c r="V568" i="34"/>
  <c r="W568" i="34"/>
  <c r="X568" i="34"/>
  <c r="N569" i="34"/>
  <c r="P569" i="34"/>
  <c r="Q569" i="34"/>
  <c r="S569" i="34"/>
  <c r="T569" i="34"/>
  <c r="V569" i="34"/>
  <c r="W569" i="34"/>
  <c r="X569" i="34"/>
  <c r="N570" i="34"/>
  <c r="P570" i="34"/>
  <c r="Q570" i="34"/>
  <c r="S570" i="34"/>
  <c r="T570" i="34"/>
  <c r="V570" i="34"/>
  <c r="W570" i="34"/>
  <c r="X570" i="34"/>
  <c r="N571" i="34"/>
  <c r="P571" i="34"/>
  <c r="Q571" i="34"/>
  <c r="S571" i="34"/>
  <c r="T571" i="34"/>
  <c r="V571" i="34"/>
  <c r="W571" i="34"/>
  <c r="X571" i="34"/>
  <c r="N572" i="34"/>
  <c r="P572" i="34"/>
  <c r="Q572" i="34"/>
  <c r="S572" i="34"/>
  <c r="T572" i="34"/>
  <c r="V572" i="34"/>
  <c r="W572" i="34"/>
  <c r="X572" i="34"/>
  <c r="N573" i="34"/>
  <c r="P573" i="34"/>
  <c r="Q573" i="34"/>
  <c r="S573" i="34"/>
  <c r="T573" i="34"/>
  <c r="V573" i="34"/>
  <c r="W573" i="34"/>
  <c r="X573" i="34"/>
  <c r="N574" i="34"/>
  <c r="P574" i="34"/>
  <c r="Q574" i="34"/>
  <c r="S574" i="34"/>
  <c r="T574" i="34"/>
  <c r="V574" i="34"/>
  <c r="W574" i="34"/>
  <c r="X574" i="34"/>
  <c r="N575" i="34"/>
  <c r="P575" i="34"/>
  <c r="Q575" i="34"/>
  <c r="S575" i="34"/>
  <c r="T575" i="34"/>
  <c r="V575" i="34"/>
  <c r="W575" i="34"/>
  <c r="X575" i="34"/>
  <c r="N576" i="34"/>
  <c r="P576" i="34"/>
  <c r="Q576" i="34"/>
  <c r="S576" i="34"/>
  <c r="T576" i="34"/>
  <c r="V576" i="34"/>
  <c r="W576" i="34"/>
  <c r="X576" i="34"/>
  <c r="N577" i="34"/>
  <c r="P577" i="34"/>
  <c r="Q577" i="34"/>
  <c r="S577" i="34"/>
  <c r="T577" i="34"/>
  <c r="V577" i="34"/>
  <c r="W577" i="34"/>
  <c r="X577" i="34"/>
  <c r="N578" i="34"/>
  <c r="P578" i="34"/>
  <c r="Q578" i="34"/>
  <c r="S578" i="34"/>
  <c r="T578" i="34"/>
  <c r="V578" i="34"/>
  <c r="W578" i="34"/>
  <c r="X578" i="34"/>
  <c r="N579" i="34"/>
  <c r="P579" i="34"/>
  <c r="Q579" i="34"/>
  <c r="S579" i="34"/>
  <c r="T579" i="34"/>
  <c r="V579" i="34"/>
  <c r="W579" i="34"/>
  <c r="X579" i="34"/>
  <c r="N580" i="34"/>
  <c r="P580" i="34"/>
  <c r="Q580" i="34"/>
  <c r="S580" i="34"/>
  <c r="T580" i="34"/>
  <c r="V580" i="34"/>
  <c r="W580" i="34"/>
  <c r="X580" i="34"/>
  <c r="N581" i="34"/>
  <c r="P581" i="34"/>
  <c r="Q581" i="34"/>
  <c r="S581" i="34"/>
  <c r="T581" i="34"/>
  <c r="V581" i="34"/>
  <c r="W581" i="34"/>
  <c r="X581" i="34"/>
  <c r="N582" i="34"/>
  <c r="P582" i="34"/>
  <c r="Q582" i="34"/>
  <c r="S582" i="34"/>
  <c r="T582" i="34"/>
  <c r="V582" i="34"/>
  <c r="W582" i="34"/>
  <c r="X582" i="34"/>
  <c r="N583" i="34"/>
  <c r="P583" i="34"/>
  <c r="Q583" i="34"/>
  <c r="S583" i="34"/>
  <c r="T583" i="34"/>
  <c r="V583" i="34"/>
  <c r="W583" i="34"/>
  <c r="X583" i="34"/>
  <c r="N584" i="34"/>
  <c r="P584" i="34"/>
  <c r="Q584" i="34"/>
  <c r="S584" i="34"/>
  <c r="T584" i="34"/>
  <c r="V584" i="34"/>
  <c r="W584" i="34"/>
  <c r="X584" i="34"/>
  <c r="N585" i="34"/>
  <c r="P585" i="34"/>
  <c r="Q585" i="34"/>
  <c r="S585" i="34"/>
  <c r="T585" i="34"/>
  <c r="V585" i="34"/>
  <c r="W585" i="34"/>
  <c r="X585" i="34"/>
  <c r="N586" i="34"/>
  <c r="P586" i="34"/>
  <c r="Q586" i="34"/>
  <c r="S586" i="34"/>
  <c r="T586" i="34"/>
  <c r="V586" i="34"/>
  <c r="W586" i="34"/>
  <c r="X586" i="34"/>
  <c r="N587" i="34"/>
  <c r="P587" i="34"/>
  <c r="Q587" i="34"/>
  <c r="S587" i="34"/>
  <c r="T587" i="34"/>
  <c r="V587" i="34"/>
  <c r="W587" i="34"/>
  <c r="X587" i="34"/>
  <c r="N588" i="34"/>
  <c r="V588" i="34"/>
  <c r="W588" i="34"/>
  <c r="X588" i="34"/>
  <c r="N589" i="34"/>
  <c r="P589" i="34"/>
  <c r="Q589" i="34"/>
  <c r="S589" i="34"/>
  <c r="T589" i="34"/>
  <c r="V589" i="34"/>
  <c r="W589" i="34"/>
  <c r="X589" i="34"/>
  <c r="N590" i="34"/>
  <c r="P590" i="34"/>
  <c r="Q590" i="34"/>
  <c r="S590" i="34"/>
  <c r="T590" i="34"/>
  <c r="V590" i="34"/>
  <c r="W590" i="34"/>
  <c r="X590" i="34"/>
  <c r="N591" i="34"/>
  <c r="Q591" i="34"/>
  <c r="V591" i="34"/>
  <c r="W591" i="34"/>
  <c r="X591" i="34"/>
  <c r="N592" i="34"/>
  <c r="P592" i="34"/>
  <c r="Q592" i="34"/>
  <c r="S592" i="34"/>
  <c r="T592" i="34"/>
  <c r="V592" i="34"/>
  <c r="W592" i="34"/>
  <c r="X592" i="34"/>
  <c r="N593" i="34"/>
  <c r="P593" i="34"/>
  <c r="Q593" i="34"/>
  <c r="S593" i="34"/>
  <c r="T593" i="34"/>
  <c r="V593" i="34"/>
  <c r="W593" i="34"/>
  <c r="X593" i="34"/>
  <c r="N594" i="34"/>
  <c r="P594" i="34"/>
  <c r="Q594" i="34"/>
  <c r="S594" i="34"/>
  <c r="T594" i="34"/>
  <c r="V594" i="34"/>
  <c r="W594" i="34"/>
  <c r="X594" i="34"/>
  <c r="N595" i="34"/>
  <c r="V595" i="34"/>
  <c r="W595" i="34"/>
  <c r="X595" i="34"/>
  <c r="N596" i="34"/>
  <c r="P596" i="34"/>
  <c r="Q596" i="34"/>
  <c r="S596" i="34"/>
  <c r="T596" i="34"/>
  <c r="V596" i="34"/>
  <c r="W596" i="34"/>
  <c r="X596" i="34"/>
  <c r="N597" i="34"/>
  <c r="P597" i="34"/>
  <c r="Q597" i="34"/>
  <c r="S597" i="34"/>
  <c r="T597" i="34"/>
  <c r="V597" i="34"/>
  <c r="W597" i="34"/>
  <c r="X597" i="34"/>
  <c r="N598" i="34"/>
  <c r="P598" i="34"/>
  <c r="Q598" i="34"/>
  <c r="S598" i="34"/>
  <c r="T598" i="34"/>
  <c r="V598" i="34"/>
  <c r="W598" i="34"/>
  <c r="X598" i="34"/>
  <c r="N599" i="34"/>
  <c r="P599" i="34"/>
  <c r="Q599" i="34"/>
  <c r="S599" i="34"/>
  <c r="T599" i="34"/>
  <c r="V599" i="34"/>
  <c r="W599" i="34"/>
  <c r="X599" i="34"/>
  <c r="N600" i="34"/>
  <c r="P600" i="34"/>
  <c r="Q600" i="34"/>
  <c r="S600" i="34"/>
  <c r="T600" i="34"/>
  <c r="V600" i="34"/>
  <c r="W600" i="34"/>
  <c r="X600" i="34"/>
  <c r="N601" i="34"/>
  <c r="P601" i="34"/>
  <c r="Q601" i="34"/>
  <c r="S601" i="34"/>
  <c r="T601" i="34"/>
  <c r="V601" i="34"/>
  <c r="W601" i="34"/>
  <c r="X601" i="34"/>
  <c r="N602" i="34"/>
  <c r="P602" i="34"/>
  <c r="Q602" i="34"/>
  <c r="S602" i="34"/>
  <c r="T602" i="34"/>
  <c r="V602" i="34"/>
  <c r="W602" i="34"/>
  <c r="X602" i="34"/>
  <c r="N603" i="34"/>
  <c r="P603" i="34"/>
  <c r="Q603" i="34"/>
  <c r="S603" i="34"/>
  <c r="T603" i="34"/>
  <c r="V603" i="34"/>
  <c r="W603" i="34"/>
  <c r="X603" i="34"/>
  <c r="N604" i="34"/>
  <c r="P604" i="34"/>
  <c r="Q604" i="34"/>
  <c r="S604" i="34"/>
  <c r="T604" i="34"/>
  <c r="V604" i="34"/>
  <c r="W604" i="34"/>
  <c r="X604" i="34"/>
  <c r="N605" i="34"/>
  <c r="P605" i="34"/>
  <c r="Q605" i="34"/>
  <c r="S605" i="34"/>
  <c r="T605" i="34"/>
  <c r="V605" i="34"/>
  <c r="W605" i="34"/>
  <c r="X605" i="34"/>
  <c r="N606" i="34"/>
  <c r="P606" i="34"/>
  <c r="Q606" i="34"/>
  <c r="S606" i="34"/>
  <c r="T606" i="34"/>
  <c r="V606" i="34"/>
  <c r="W606" i="34"/>
  <c r="X606" i="34"/>
  <c r="N607" i="34"/>
  <c r="P607" i="34"/>
  <c r="Q607" i="34"/>
  <c r="S607" i="34"/>
  <c r="T607" i="34"/>
  <c r="V607" i="34"/>
  <c r="W607" i="34"/>
  <c r="X607" i="34"/>
  <c r="N608" i="34"/>
  <c r="P608" i="34"/>
  <c r="Q608" i="34"/>
  <c r="S608" i="34"/>
  <c r="T608" i="34"/>
  <c r="V608" i="34"/>
  <c r="W608" i="34"/>
  <c r="X608" i="34"/>
  <c r="N609" i="34"/>
  <c r="P609" i="34"/>
  <c r="Q609" i="34"/>
  <c r="S609" i="34"/>
  <c r="T609" i="34"/>
  <c r="V609" i="34"/>
  <c r="W609" i="34"/>
  <c r="X609" i="34"/>
  <c r="N610" i="34"/>
  <c r="P610" i="34"/>
  <c r="Q610" i="34"/>
  <c r="S610" i="34"/>
  <c r="T610" i="34"/>
  <c r="F610" i="34"/>
  <c r="V610" i="34"/>
  <c r="W610" i="34"/>
  <c r="X610" i="34"/>
  <c r="N611" i="34"/>
  <c r="P611" i="34"/>
  <c r="Q611" i="34"/>
  <c r="S611" i="34"/>
  <c r="T611" i="34"/>
  <c r="V611" i="34"/>
  <c r="W611" i="34"/>
  <c r="X611" i="34"/>
  <c r="N612" i="34"/>
  <c r="P612" i="34"/>
  <c r="Q612" i="34"/>
  <c r="S612" i="34"/>
  <c r="T612" i="34"/>
  <c r="V612" i="34"/>
  <c r="W612" i="34"/>
  <c r="X612" i="34"/>
  <c r="N613" i="34"/>
  <c r="P613" i="34"/>
  <c r="Q613" i="34"/>
  <c r="S613" i="34"/>
  <c r="T613" i="34"/>
  <c r="V613" i="34"/>
  <c r="W613" i="34"/>
  <c r="X613" i="34"/>
  <c r="N614" i="34"/>
  <c r="P614" i="34"/>
  <c r="Q614" i="34"/>
  <c r="S614" i="34"/>
  <c r="T614" i="34"/>
  <c r="V614" i="34"/>
  <c r="W614" i="34"/>
  <c r="X614" i="34"/>
  <c r="N615" i="34"/>
  <c r="P615" i="34"/>
  <c r="Q615" i="34"/>
  <c r="S615" i="34"/>
  <c r="T615" i="34"/>
  <c r="V615" i="34"/>
  <c r="W615" i="34"/>
  <c r="X615" i="34"/>
  <c r="N616" i="34"/>
  <c r="P616" i="34"/>
  <c r="Q616" i="34"/>
  <c r="S616" i="34"/>
  <c r="T616" i="34"/>
  <c r="V616" i="34"/>
  <c r="W616" i="34"/>
  <c r="X616" i="34"/>
  <c r="N617" i="34"/>
  <c r="P617" i="34"/>
  <c r="Q617" i="34"/>
  <c r="S617" i="34"/>
  <c r="T617" i="34"/>
  <c r="V617" i="34"/>
  <c r="W617" i="34"/>
  <c r="X617" i="34"/>
  <c r="N618" i="34"/>
  <c r="P618" i="34"/>
  <c r="Q618" i="34"/>
  <c r="S618" i="34"/>
  <c r="T618" i="34"/>
  <c r="V618" i="34"/>
  <c r="W618" i="34"/>
  <c r="X618" i="34"/>
  <c r="N619" i="34"/>
  <c r="P619" i="34"/>
  <c r="Q619" i="34"/>
  <c r="S619" i="34"/>
  <c r="T619" i="34"/>
  <c r="V619" i="34"/>
  <c r="W619" i="34"/>
  <c r="X619" i="34"/>
  <c r="N620" i="34"/>
  <c r="P620" i="34"/>
  <c r="Q620" i="34"/>
  <c r="S620" i="34"/>
  <c r="T620" i="34"/>
  <c r="V620" i="34"/>
  <c r="W620" i="34"/>
  <c r="X620" i="34"/>
  <c r="N621" i="34"/>
  <c r="P621" i="34"/>
  <c r="Q621" i="34"/>
  <c r="S621" i="34"/>
  <c r="T621" i="34"/>
  <c r="V621" i="34"/>
  <c r="W621" i="34"/>
  <c r="X621" i="34"/>
  <c r="N622" i="34"/>
  <c r="P622" i="34"/>
  <c r="Q622" i="34"/>
  <c r="S622" i="34"/>
  <c r="T622" i="34"/>
  <c r="V622" i="34"/>
  <c r="W622" i="34"/>
  <c r="X622" i="34"/>
  <c r="N623" i="34"/>
  <c r="P623" i="34"/>
  <c r="Q623" i="34"/>
  <c r="S623" i="34"/>
  <c r="T623" i="34"/>
  <c r="V623" i="34"/>
  <c r="W623" i="34"/>
  <c r="X623" i="34"/>
  <c r="N624" i="34"/>
  <c r="P624" i="34"/>
  <c r="Q624" i="34"/>
  <c r="S624" i="34"/>
  <c r="T624" i="34"/>
  <c r="V624" i="34"/>
  <c r="W624" i="34"/>
  <c r="X624" i="34"/>
  <c r="N625" i="34"/>
  <c r="P625" i="34"/>
  <c r="Q625" i="34"/>
  <c r="S625" i="34"/>
  <c r="T625" i="34"/>
  <c r="V625" i="34"/>
  <c r="W625" i="34"/>
  <c r="X625" i="34"/>
  <c r="N626" i="34"/>
  <c r="P626" i="34"/>
  <c r="Q626" i="34"/>
  <c r="S626" i="34"/>
  <c r="T626" i="34"/>
  <c r="V626" i="34"/>
  <c r="W626" i="34"/>
  <c r="X626" i="34"/>
  <c r="N627" i="34"/>
  <c r="P627" i="34"/>
  <c r="Q627" i="34"/>
  <c r="S627" i="34"/>
  <c r="T627" i="34"/>
  <c r="V627" i="34"/>
  <c r="W627" i="34"/>
  <c r="X627" i="34"/>
  <c r="N628" i="34"/>
  <c r="P628" i="34"/>
  <c r="Q628" i="34"/>
  <c r="S628" i="34"/>
  <c r="T628" i="34"/>
  <c r="V628" i="34"/>
  <c r="W628" i="34"/>
  <c r="X628" i="34"/>
  <c r="N629" i="34"/>
  <c r="P629" i="34"/>
  <c r="Q629" i="34"/>
  <c r="S629" i="34"/>
  <c r="T629" i="34"/>
  <c r="V629" i="34"/>
  <c r="W629" i="34"/>
  <c r="X629" i="34"/>
  <c r="N630" i="34"/>
  <c r="S630" i="34"/>
  <c r="T630" i="34"/>
  <c r="V630" i="34"/>
  <c r="W630" i="34"/>
  <c r="X630" i="34"/>
  <c r="N631" i="34"/>
  <c r="P631" i="34"/>
  <c r="Q631" i="34"/>
  <c r="S631" i="34"/>
  <c r="T631" i="34"/>
  <c r="V631" i="34"/>
  <c r="W631" i="34"/>
  <c r="X631" i="34"/>
  <c r="N632" i="34"/>
  <c r="P632" i="34"/>
  <c r="Q632" i="34"/>
  <c r="S632" i="34"/>
  <c r="T632" i="34"/>
  <c r="V632" i="34"/>
  <c r="W632" i="34"/>
  <c r="X632" i="34"/>
  <c r="N633" i="34"/>
  <c r="P633" i="34"/>
  <c r="Q633" i="34"/>
  <c r="S633" i="34"/>
  <c r="T633" i="34"/>
  <c r="V633" i="34"/>
  <c r="W633" i="34"/>
  <c r="X633" i="34"/>
  <c r="N634" i="34"/>
  <c r="S634" i="34"/>
  <c r="T634" i="34"/>
  <c r="V634" i="34"/>
  <c r="W634" i="34"/>
  <c r="X634" i="34"/>
  <c r="N635" i="34"/>
  <c r="P635" i="34"/>
  <c r="Q635" i="34"/>
  <c r="S635" i="34"/>
  <c r="T635" i="34"/>
  <c r="V635" i="34"/>
  <c r="W635" i="34"/>
  <c r="X635" i="34"/>
  <c r="N636" i="34"/>
  <c r="P636" i="34"/>
  <c r="Q636" i="34"/>
  <c r="S636" i="34"/>
  <c r="T636" i="34"/>
  <c r="V636" i="34"/>
  <c r="W636" i="34"/>
  <c r="X636" i="34"/>
  <c r="N637" i="34"/>
  <c r="P637" i="34"/>
  <c r="Q637" i="34"/>
  <c r="S637" i="34"/>
  <c r="T637" i="34"/>
  <c r="V637" i="34"/>
  <c r="W637" i="34"/>
  <c r="X637" i="34"/>
  <c r="N638" i="34"/>
  <c r="P638" i="34"/>
  <c r="Q638" i="34"/>
  <c r="S638" i="34"/>
  <c r="T638" i="34"/>
  <c r="V638" i="34"/>
  <c r="W638" i="34"/>
  <c r="X638" i="34"/>
  <c r="N639" i="34"/>
  <c r="P639" i="34"/>
  <c r="Q639" i="34"/>
  <c r="S639" i="34"/>
  <c r="T639" i="34"/>
  <c r="V639" i="34"/>
  <c r="W639" i="34"/>
  <c r="X639" i="34"/>
  <c r="N640" i="34"/>
  <c r="P640" i="34"/>
  <c r="Q640" i="34"/>
  <c r="S640" i="34"/>
  <c r="T640" i="34"/>
  <c r="V640" i="34"/>
  <c r="W640" i="34"/>
  <c r="X640" i="34"/>
  <c r="N641" i="34"/>
  <c r="P641" i="34"/>
  <c r="Q641" i="34"/>
  <c r="S641" i="34"/>
  <c r="T641" i="34"/>
  <c r="V641" i="34"/>
  <c r="W641" i="34"/>
  <c r="X641" i="34"/>
  <c r="N642" i="34"/>
  <c r="P642" i="34"/>
  <c r="Q642" i="34"/>
  <c r="S642" i="34"/>
  <c r="T642" i="34"/>
  <c r="V642" i="34"/>
  <c r="W642" i="34"/>
  <c r="X642" i="34"/>
  <c r="N643" i="34"/>
  <c r="P643" i="34"/>
  <c r="Q643" i="34"/>
  <c r="S643" i="34"/>
  <c r="T643" i="34"/>
  <c r="V643" i="34"/>
  <c r="W643" i="34"/>
  <c r="X643" i="34"/>
  <c r="N644" i="34"/>
  <c r="P644" i="34"/>
  <c r="Q644" i="34"/>
  <c r="S644" i="34"/>
  <c r="T644" i="34"/>
  <c r="V644" i="34"/>
  <c r="W644" i="34"/>
  <c r="X644" i="34"/>
  <c r="N645" i="34"/>
  <c r="P645" i="34"/>
  <c r="Q645" i="34"/>
  <c r="S645" i="34"/>
  <c r="T645" i="34"/>
  <c r="V645" i="34"/>
  <c r="W645" i="34"/>
  <c r="X645" i="34"/>
  <c r="N646" i="34"/>
  <c r="P646" i="34"/>
  <c r="Q646" i="34"/>
  <c r="S646" i="34"/>
  <c r="T646" i="34"/>
  <c r="V646" i="34"/>
  <c r="W646" i="34"/>
  <c r="X646" i="34"/>
  <c r="N647" i="34"/>
  <c r="P647" i="34"/>
  <c r="Q647" i="34"/>
  <c r="S647" i="34"/>
  <c r="T647" i="34"/>
  <c r="V647" i="34"/>
  <c r="W647" i="34"/>
  <c r="X647" i="34"/>
  <c r="N648" i="34"/>
  <c r="P648" i="34"/>
  <c r="Q648" i="34"/>
  <c r="S648" i="34"/>
  <c r="T648" i="34"/>
  <c r="V648" i="34"/>
  <c r="W648" i="34"/>
  <c r="X648" i="34"/>
  <c r="N649" i="34"/>
  <c r="P649" i="34"/>
  <c r="Q649" i="34"/>
  <c r="S649" i="34"/>
  <c r="T649" i="34"/>
  <c r="V649" i="34"/>
  <c r="W649" i="34"/>
  <c r="X649" i="34"/>
  <c r="N650" i="34"/>
  <c r="P650" i="34"/>
  <c r="Q650" i="34"/>
  <c r="S650" i="34"/>
  <c r="T650" i="34"/>
  <c r="V650" i="34"/>
  <c r="W650" i="34"/>
  <c r="X650" i="34"/>
  <c r="N651" i="34"/>
  <c r="P651" i="34"/>
  <c r="Q651" i="34"/>
  <c r="S651" i="34"/>
  <c r="T651" i="34"/>
  <c r="V651" i="34"/>
  <c r="W651" i="34"/>
  <c r="X651" i="34"/>
  <c r="N652" i="34"/>
  <c r="P652" i="34"/>
  <c r="Q652" i="34"/>
  <c r="S652" i="34"/>
  <c r="T652" i="34"/>
  <c r="V652" i="34"/>
  <c r="W652" i="34"/>
  <c r="X652" i="34"/>
  <c r="N653" i="34"/>
  <c r="P653" i="34"/>
  <c r="Q653" i="34"/>
  <c r="S653" i="34"/>
  <c r="T653" i="34"/>
  <c r="V653" i="34"/>
  <c r="W653" i="34"/>
  <c r="X653" i="34"/>
  <c r="N654" i="34"/>
  <c r="P654" i="34"/>
  <c r="Q654" i="34"/>
  <c r="S654" i="34"/>
  <c r="T654" i="34"/>
  <c r="V654" i="34"/>
  <c r="W654" i="34"/>
  <c r="X654" i="34"/>
  <c r="N655" i="34"/>
  <c r="P655" i="34"/>
  <c r="Q655" i="34"/>
  <c r="S655" i="34"/>
  <c r="T655" i="34"/>
  <c r="V655" i="34"/>
  <c r="W655" i="34"/>
  <c r="X655" i="34"/>
  <c r="N656" i="34"/>
  <c r="P656" i="34"/>
  <c r="Q656" i="34"/>
  <c r="S656" i="34"/>
  <c r="T656" i="34"/>
  <c r="V656" i="34"/>
  <c r="W656" i="34"/>
  <c r="X656" i="34"/>
  <c r="N657" i="34"/>
  <c r="P657" i="34"/>
  <c r="Q657" i="34"/>
  <c r="S657" i="34"/>
  <c r="T657" i="34"/>
  <c r="V657" i="34"/>
  <c r="W657" i="34"/>
  <c r="X657" i="34"/>
  <c r="N658" i="34"/>
  <c r="P658" i="34"/>
  <c r="Q658" i="34"/>
  <c r="S658" i="34"/>
  <c r="T658" i="34"/>
  <c r="V658" i="34"/>
  <c r="W658" i="34"/>
  <c r="X658" i="34"/>
  <c r="N659" i="34"/>
  <c r="P659" i="34"/>
  <c r="Q659" i="34"/>
  <c r="S659" i="34"/>
  <c r="T659" i="34"/>
  <c r="V659" i="34"/>
  <c r="W659" i="34"/>
  <c r="X659" i="34"/>
  <c r="N660" i="34"/>
  <c r="P660" i="34"/>
  <c r="Q660" i="34"/>
  <c r="S660" i="34"/>
  <c r="T660" i="34"/>
  <c r="V660" i="34"/>
  <c r="W660" i="34"/>
  <c r="X660" i="34"/>
  <c r="N661" i="34"/>
  <c r="P661" i="34"/>
  <c r="Q661" i="34"/>
  <c r="S661" i="34"/>
  <c r="T661" i="34"/>
  <c r="V661" i="34"/>
  <c r="W661" i="34"/>
  <c r="X661" i="34"/>
  <c r="N662" i="34"/>
  <c r="P662" i="34"/>
  <c r="Q662" i="34"/>
  <c r="S662" i="34"/>
  <c r="T662" i="34"/>
  <c r="V662" i="34"/>
  <c r="W662" i="34"/>
  <c r="X662" i="34"/>
  <c r="N663" i="34"/>
  <c r="P663" i="34"/>
  <c r="Q663" i="34"/>
  <c r="S663" i="34"/>
  <c r="T663" i="34"/>
  <c r="V663" i="34"/>
  <c r="W663" i="34"/>
  <c r="X663" i="34"/>
  <c r="N664" i="34"/>
  <c r="P664" i="34"/>
  <c r="Q664" i="34"/>
  <c r="S664" i="34"/>
  <c r="T664" i="34"/>
  <c r="V664" i="34"/>
  <c r="W664" i="34"/>
  <c r="X664" i="34"/>
  <c r="N665" i="34"/>
  <c r="P665" i="34"/>
  <c r="Q665" i="34"/>
  <c r="S665" i="34"/>
  <c r="T665" i="34"/>
  <c r="V665" i="34"/>
  <c r="W665" i="34"/>
  <c r="X665" i="34"/>
  <c r="N666" i="34"/>
  <c r="P666" i="34"/>
  <c r="Q666" i="34"/>
  <c r="S666" i="34"/>
  <c r="T666" i="34"/>
  <c r="V666" i="34"/>
  <c r="W666" i="34"/>
  <c r="X666" i="34"/>
  <c r="N667" i="34"/>
  <c r="P667" i="34"/>
  <c r="Q667" i="34"/>
  <c r="S667" i="34"/>
  <c r="T667" i="34"/>
  <c r="V667" i="34"/>
  <c r="W667" i="34"/>
  <c r="X667" i="34"/>
  <c r="N668" i="34"/>
  <c r="P668" i="34"/>
  <c r="Q668" i="34"/>
  <c r="S668" i="34"/>
  <c r="T668" i="34"/>
  <c r="V668" i="34"/>
  <c r="W668" i="34"/>
  <c r="X668" i="34"/>
  <c r="N669" i="34"/>
  <c r="P669" i="34"/>
  <c r="Q669" i="34"/>
  <c r="S669" i="34"/>
  <c r="T669" i="34"/>
  <c r="V669" i="34"/>
  <c r="W669" i="34"/>
  <c r="X669" i="34"/>
  <c r="N670" i="34"/>
  <c r="P670" i="34"/>
  <c r="Q670" i="34"/>
  <c r="S670" i="34"/>
  <c r="T670" i="34"/>
  <c r="V670" i="34"/>
  <c r="W670" i="34"/>
  <c r="X670" i="34"/>
  <c r="N671" i="34"/>
  <c r="P671" i="34"/>
  <c r="Q671" i="34"/>
  <c r="S671" i="34"/>
  <c r="T671" i="34"/>
  <c r="V671" i="34"/>
  <c r="W671" i="34"/>
  <c r="X671" i="34"/>
  <c r="N672" i="34"/>
  <c r="P672" i="34"/>
  <c r="Q672" i="34"/>
  <c r="S672" i="34"/>
  <c r="T672" i="34"/>
  <c r="V672" i="34"/>
  <c r="W672" i="34"/>
  <c r="X672" i="34"/>
  <c r="N673" i="34"/>
  <c r="P673" i="34"/>
  <c r="Q673" i="34"/>
  <c r="S673" i="34"/>
  <c r="T673" i="34"/>
  <c r="V673" i="34"/>
  <c r="W673" i="34"/>
  <c r="X673" i="34"/>
  <c r="N674" i="34"/>
  <c r="P674" i="34"/>
  <c r="Q674" i="34"/>
  <c r="S674" i="34"/>
  <c r="T674" i="34"/>
  <c r="V674" i="34"/>
  <c r="W674" i="34"/>
  <c r="X674" i="34"/>
  <c r="N675" i="34"/>
  <c r="P675" i="34"/>
  <c r="Q675" i="34"/>
  <c r="S675" i="34"/>
  <c r="T675" i="34"/>
  <c r="V675" i="34"/>
  <c r="W675" i="34"/>
  <c r="X675" i="34"/>
  <c r="N676" i="34"/>
  <c r="P676" i="34"/>
  <c r="Q676" i="34"/>
  <c r="S676" i="34"/>
  <c r="T676" i="34"/>
  <c r="V676" i="34"/>
  <c r="W676" i="34"/>
  <c r="X676" i="34"/>
  <c r="N677" i="34"/>
  <c r="P677" i="34"/>
  <c r="Q677" i="34"/>
  <c r="S677" i="34"/>
  <c r="T677" i="34"/>
  <c r="V677" i="34"/>
  <c r="W677" i="34"/>
  <c r="X677" i="34"/>
  <c r="N678" i="34"/>
  <c r="P678" i="34"/>
  <c r="Q678" i="34"/>
  <c r="S678" i="34"/>
  <c r="T678" i="34"/>
  <c r="V678" i="34"/>
  <c r="W678" i="34"/>
  <c r="X678" i="34"/>
  <c r="N679" i="34"/>
  <c r="P679" i="34"/>
  <c r="Q679" i="34"/>
  <c r="S679" i="34"/>
  <c r="T679" i="34"/>
  <c r="V679" i="34"/>
  <c r="W679" i="34"/>
  <c r="X679" i="34"/>
  <c r="N680" i="34"/>
  <c r="P680" i="34"/>
  <c r="Q680" i="34"/>
  <c r="S680" i="34"/>
  <c r="T680" i="34"/>
  <c r="V680" i="34"/>
  <c r="W680" i="34"/>
  <c r="X680" i="34"/>
  <c r="N681" i="34"/>
  <c r="P681" i="34"/>
  <c r="Q681" i="34"/>
  <c r="S681" i="34"/>
  <c r="T681" i="34"/>
  <c r="V681" i="34"/>
  <c r="W681" i="34"/>
  <c r="X681" i="34"/>
  <c r="N682" i="34"/>
  <c r="P682" i="34"/>
  <c r="Q682" i="34"/>
  <c r="S682" i="34"/>
  <c r="T682" i="34"/>
  <c r="V682" i="34"/>
  <c r="W682" i="34"/>
  <c r="X682" i="34"/>
  <c r="N683" i="34"/>
  <c r="P683" i="34"/>
  <c r="Q683" i="34"/>
  <c r="S683" i="34"/>
  <c r="T683" i="34"/>
  <c r="V683" i="34"/>
  <c r="W683" i="34"/>
  <c r="X683" i="34"/>
  <c r="N684" i="34"/>
  <c r="P684" i="34"/>
  <c r="Q684" i="34"/>
  <c r="S684" i="34"/>
  <c r="T684" i="34"/>
  <c r="V684" i="34"/>
  <c r="W684" i="34"/>
  <c r="X684" i="34"/>
  <c r="N685" i="34"/>
  <c r="P685" i="34"/>
  <c r="Q685" i="34"/>
  <c r="S685" i="34"/>
  <c r="T685" i="34"/>
  <c r="V685" i="34"/>
  <c r="W685" i="34"/>
  <c r="X685" i="34"/>
  <c r="N686" i="34"/>
  <c r="P686" i="34"/>
  <c r="Q686" i="34"/>
  <c r="S686" i="34"/>
  <c r="T686" i="34"/>
  <c r="V686" i="34"/>
  <c r="W686" i="34"/>
  <c r="X686" i="34"/>
  <c r="N687" i="34"/>
  <c r="P687" i="34"/>
  <c r="Q687" i="34"/>
  <c r="S687" i="34"/>
  <c r="T687" i="34"/>
  <c r="V687" i="34"/>
  <c r="W687" i="34"/>
  <c r="X687" i="34"/>
  <c r="N688" i="34"/>
  <c r="P688" i="34"/>
  <c r="Q688" i="34"/>
  <c r="S688" i="34"/>
  <c r="T688" i="34"/>
  <c r="V688" i="34"/>
  <c r="W688" i="34"/>
  <c r="X688" i="34"/>
  <c r="N689" i="34"/>
  <c r="P689" i="34"/>
  <c r="Q689" i="34"/>
  <c r="S689" i="34"/>
  <c r="T689" i="34"/>
  <c r="V689" i="34"/>
  <c r="W689" i="34"/>
  <c r="X689" i="34"/>
  <c r="N690" i="34"/>
  <c r="P690" i="34"/>
  <c r="Q690" i="34"/>
  <c r="S690" i="34"/>
  <c r="T690" i="34"/>
  <c r="V690" i="34"/>
  <c r="W690" i="34"/>
  <c r="X690" i="34"/>
  <c r="N691" i="34"/>
  <c r="P691" i="34"/>
  <c r="Q691" i="34"/>
  <c r="S691" i="34"/>
  <c r="T691" i="34"/>
  <c r="V691" i="34"/>
  <c r="W691" i="34"/>
  <c r="X691" i="34"/>
  <c r="N692" i="34"/>
  <c r="P692" i="34"/>
  <c r="Q692" i="34"/>
  <c r="S692" i="34"/>
  <c r="T692" i="34"/>
  <c r="V692" i="34"/>
  <c r="W692" i="34"/>
  <c r="X692" i="34"/>
  <c r="N693" i="34"/>
  <c r="P693" i="34"/>
  <c r="Q693" i="34"/>
  <c r="S693" i="34"/>
  <c r="T693" i="34"/>
  <c r="V693" i="34"/>
  <c r="W693" i="34"/>
  <c r="X693" i="34"/>
  <c r="N694" i="34"/>
  <c r="P694" i="34"/>
  <c r="Q694" i="34"/>
  <c r="S694" i="34"/>
  <c r="T694" i="34"/>
  <c r="V694" i="34"/>
  <c r="W694" i="34"/>
  <c r="X694" i="34"/>
  <c r="N695" i="34"/>
  <c r="P695" i="34"/>
  <c r="Q695" i="34"/>
  <c r="S695" i="34"/>
  <c r="T695" i="34"/>
  <c r="V695" i="34"/>
  <c r="W695" i="34"/>
  <c r="X695" i="34"/>
  <c r="N696" i="34"/>
  <c r="P696" i="34"/>
  <c r="Q696" i="34"/>
  <c r="S696" i="34"/>
  <c r="T696" i="34"/>
  <c r="V696" i="34"/>
  <c r="W696" i="34"/>
  <c r="X696" i="34"/>
  <c r="N697" i="34"/>
  <c r="P697" i="34"/>
  <c r="Q697" i="34"/>
  <c r="S697" i="34"/>
  <c r="T697" i="34"/>
  <c r="V697" i="34"/>
  <c r="W697" i="34"/>
  <c r="X697" i="34"/>
  <c r="N698" i="34"/>
  <c r="P698" i="34"/>
  <c r="Q698" i="34"/>
  <c r="S698" i="34"/>
  <c r="T698" i="34"/>
  <c r="V698" i="34"/>
  <c r="W698" i="34"/>
  <c r="X698" i="34"/>
  <c r="N699" i="34"/>
  <c r="P699" i="34"/>
  <c r="Q699" i="34"/>
  <c r="S699" i="34"/>
  <c r="T699" i="34"/>
  <c r="V699" i="34"/>
  <c r="W699" i="34"/>
  <c r="X699" i="34"/>
  <c r="N700" i="34"/>
  <c r="P700" i="34"/>
  <c r="Q700" i="34"/>
  <c r="S700" i="34"/>
  <c r="T700" i="34"/>
  <c r="V700" i="34"/>
  <c r="W700" i="34"/>
  <c r="X700" i="34"/>
  <c r="N701" i="34"/>
  <c r="P701" i="34"/>
  <c r="Q701" i="34"/>
  <c r="S701" i="34"/>
  <c r="T701" i="34"/>
  <c r="V701" i="34"/>
  <c r="W701" i="34"/>
  <c r="X701" i="34"/>
  <c r="N702" i="34"/>
  <c r="P702" i="34"/>
  <c r="Q702" i="34"/>
  <c r="S702" i="34"/>
  <c r="T702" i="34"/>
  <c r="V702" i="34"/>
  <c r="W702" i="34"/>
  <c r="X702" i="34"/>
  <c r="N703" i="34"/>
  <c r="P703" i="34"/>
  <c r="Q703" i="34"/>
  <c r="S703" i="34"/>
  <c r="T703" i="34"/>
  <c r="V703" i="34"/>
  <c r="W703" i="34"/>
  <c r="X703" i="34"/>
  <c r="N704" i="34"/>
  <c r="P704" i="34"/>
  <c r="Q704" i="34"/>
  <c r="S704" i="34"/>
  <c r="T704" i="34"/>
  <c r="V704" i="34"/>
  <c r="W704" i="34"/>
  <c r="X704" i="34"/>
  <c r="N705" i="34"/>
  <c r="P705" i="34"/>
  <c r="Q705" i="34"/>
  <c r="S705" i="34"/>
  <c r="T705" i="34"/>
  <c r="V705" i="34"/>
  <c r="W705" i="34"/>
  <c r="X705" i="34"/>
  <c r="N706" i="34"/>
  <c r="P706" i="34"/>
  <c r="Q706" i="34"/>
  <c r="S706" i="34"/>
  <c r="T706" i="34"/>
  <c r="V706" i="34"/>
  <c r="W706" i="34"/>
  <c r="X706" i="34"/>
  <c r="N707" i="34"/>
  <c r="P707" i="34"/>
  <c r="Q707" i="34"/>
  <c r="S707" i="34"/>
  <c r="T707" i="34"/>
  <c r="V707" i="34"/>
  <c r="W707" i="34"/>
  <c r="X707" i="34"/>
  <c r="N708" i="34"/>
  <c r="P708" i="34"/>
  <c r="Q708" i="34"/>
  <c r="S708" i="34"/>
  <c r="T708" i="34"/>
  <c r="V708" i="34"/>
  <c r="W708" i="34"/>
  <c r="X708" i="34"/>
  <c r="N709" i="34"/>
  <c r="P709" i="34"/>
  <c r="Q709" i="34"/>
  <c r="S709" i="34"/>
  <c r="T709" i="34"/>
  <c r="V709" i="34"/>
  <c r="W709" i="34"/>
  <c r="X709" i="34"/>
  <c r="N710" i="34"/>
  <c r="P710" i="34"/>
  <c r="Q710" i="34"/>
  <c r="S710" i="34"/>
  <c r="T710" i="34"/>
  <c r="V710" i="34"/>
  <c r="W710" i="34"/>
  <c r="X710" i="34"/>
  <c r="N711" i="34"/>
  <c r="P711" i="34"/>
  <c r="Q711" i="34"/>
  <c r="S711" i="34"/>
  <c r="T711" i="34"/>
  <c r="V711" i="34"/>
  <c r="W711" i="34"/>
  <c r="X711" i="34"/>
  <c r="N712" i="34"/>
  <c r="P712" i="34"/>
  <c r="Q712" i="34"/>
  <c r="S712" i="34"/>
  <c r="T712" i="34"/>
  <c r="V712" i="34"/>
  <c r="W712" i="34"/>
  <c r="X712" i="34"/>
  <c r="N713" i="34"/>
  <c r="P713" i="34"/>
  <c r="Q713" i="34"/>
  <c r="S713" i="34"/>
  <c r="T713" i="34"/>
  <c r="V713" i="34"/>
  <c r="W713" i="34"/>
  <c r="X713" i="34"/>
  <c r="N714" i="34"/>
  <c r="P714" i="34"/>
  <c r="Q714" i="34"/>
  <c r="S714" i="34"/>
  <c r="T714" i="34"/>
  <c r="V714" i="34"/>
  <c r="W714" i="34"/>
  <c r="X714" i="34"/>
  <c r="N715" i="34"/>
  <c r="P715" i="34"/>
  <c r="Q715" i="34"/>
  <c r="S715" i="34"/>
  <c r="T715" i="34"/>
  <c r="V715" i="34"/>
  <c r="W715" i="34"/>
  <c r="X715" i="34"/>
  <c r="N716" i="34"/>
  <c r="P716" i="34"/>
  <c r="Q716" i="34"/>
  <c r="S716" i="34"/>
  <c r="T716" i="34"/>
  <c r="V716" i="34"/>
  <c r="W716" i="34"/>
  <c r="X716" i="34"/>
  <c r="N717" i="34"/>
  <c r="P717" i="34"/>
  <c r="Q717" i="34"/>
  <c r="S717" i="34"/>
  <c r="T717" i="34"/>
  <c r="V717" i="34"/>
  <c r="W717" i="34"/>
  <c r="X717" i="34"/>
  <c r="N718" i="34"/>
  <c r="P718" i="34"/>
  <c r="Q718" i="34"/>
  <c r="S718" i="34"/>
  <c r="T718" i="34"/>
  <c r="V718" i="34"/>
  <c r="W718" i="34"/>
  <c r="X718" i="34"/>
  <c r="N719" i="34"/>
  <c r="P719" i="34"/>
  <c r="Q719" i="34"/>
  <c r="S719" i="34"/>
  <c r="T719" i="34"/>
  <c r="V719" i="34"/>
  <c r="W719" i="34"/>
  <c r="X719" i="34"/>
  <c r="N720" i="34"/>
  <c r="P720" i="34"/>
  <c r="Q720" i="34"/>
  <c r="S720" i="34"/>
  <c r="T720" i="34"/>
  <c r="V720" i="34"/>
  <c r="W720" i="34"/>
  <c r="X720" i="34"/>
  <c r="N721" i="34"/>
  <c r="P721" i="34"/>
  <c r="Q721" i="34"/>
  <c r="S721" i="34"/>
  <c r="T721" i="34"/>
  <c r="V721" i="34"/>
  <c r="W721" i="34"/>
  <c r="X721" i="34"/>
  <c r="N722" i="34"/>
  <c r="P722" i="34"/>
  <c r="Q722" i="34"/>
  <c r="S722" i="34"/>
  <c r="T722" i="34"/>
  <c r="V722" i="34"/>
  <c r="W722" i="34"/>
  <c r="X722" i="34"/>
  <c r="N723" i="34"/>
  <c r="P723" i="34"/>
  <c r="Q723" i="34"/>
  <c r="S723" i="34"/>
  <c r="T723" i="34"/>
  <c r="V723" i="34"/>
  <c r="W723" i="34"/>
  <c r="X723" i="34"/>
  <c r="N724" i="34"/>
  <c r="P724" i="34"/>
  <c r="Q724" i="34"/>
  <c r="S724" i="34"/>
  <c r="T724" i="34"/>
  <c r="V724" i="34"/>
  <c r="W724" i="34"/>
  <c r="X724" i="34"/>
  <c r="N725" i="34"/>
  <c r="P725" i="34"/>
  <c r="Q725" i="34"/>
  <c r="S725" i="34"/>
  <c r="T725" i="34"/>
  <c r="V725" i="34"/>
  <c r="W725" i="34"/>
  <c r="X725" i="34"/>
  <c r="N726" i="34"/>
  <c r="P726" i="34"/>
  <c r="Q726" i="34"/>
  <c r="S726" i="34"/>
  <c r="T726" i="34"/>
  <c r="V726" i="34"/>
  <c r="W726" i="34"/>
  <c r="X726" i="34"/>
  <c r="N727" i="34"/>
  <c r="P727" i="34"/>
  <c r="Q727" i="34"/>
  <c r="S727" i="34"/>
  <c r="T727" i="34"/>
  <c r="V727" i="34"/>
  <c r="W727" i="34"/>
  <c r="X727" i="34"/>
  <c r="N728" i="34"/>
  <c r="P728" i="34"/>
  <c r="Q728" i="34"/>
  <c r="S728" i="34"/>
  <c r="T728" i="34"/>
  <c r="V728" i="34"/>
  <c r="W728" i="34"/>
  <c r="X728" i="34"/>
  <c r="N729" i="34"/>
  <c r="P729" i="34"/>
  <c r="Q729" i="34"/>
  <c r="S729" i="34"/>
  <c r="T729" i="34"/>
  <c r="V729" i="34"/>
  <c r="W729" i="34"/>
  <c r="X729" i="34"/>
  <c r="N730" i="34"/>
  <c r="P730" i="34"/>
  <c r="Q730" i="34"/>
  <c r="S730" i="34"/>
  <c r="T730" i="34"/>
  <c r="V730" i="34"/>
  <c r="W730" i="34"/>
  <c r="X730" i="34"/>
  <c r="N843" i="34"/>
  <c r="P843" i="34"/>
  <c r="Q843" i="34"/>
  <c r="S843" i="34"/>
  <c r="T843" i="34"/>
  <c r="V843" i="34"/>
  <c r="W843" i="34"/>
  <c r="X843" i="34"/>
  <c r="N731" i="34"/>
  <c r="P731" i="34"/>
  <c r="Q731" i="34"/>
  <c r="S731" i="34"/>
  <c r="T731" i="34"/>
  <c r="V731" i="34"/>
  <c r="W731" i="34"/>
  <c r="X731" i="34"/>
  <c r="N732" i="34"/>
  <c r="P732" i="34"/>
  <c r="Q732" i="34"/>
  <c r="S732" i="34"/>
  <c r="T732" i="34"/>
  <c r="V732" i="34"/>
  <c r="W732" i="34"/>
  <c r="X732" i="34"/>
  <c r="N733" i="34"/>
  <c r="P733" i="34"/>
  <c r="Q733" i="34"/>
  <c r="S733" i="34"/>
  <c r="T733" i="34"/>
  <c r="V733" i="34"/>
  <c r="W733" i="34"/>
  <c r="X733" i="34"/>
  <c r="N734" i="34"/>
  <c r="P734" i="34"/>
  <c r="Q734" i="34"/>
  <c r="S734" i="34"/>
  <c r="T734" i="34"/>
  <c r="V734" i="34"/>
  <c r="W734" i="34"/>
  <c r="X734" i="34"/>
  <c r="N735" i="34"/>
  <c r="P735" i="34"/>
  <c r="Q735" i="34"/>
  <c r="S735" i="34"/>
  <c r="T735" i="34"/>
  <c r="V735" i="34"/>
  <c r="W735" i="34"/>
  <c r="X735" i="34"/>
  <c r="N736" i="34"/>
  <c r="P736" i="34"/>
  <c r="Q736" i="34"/>
  <c r="S736" i="34"/>
  <c r="T736" i="34"/>
  <c r="V736" i="34"/>
  <c r="W736" i="34"/>
  <c r="X736" i="34"/>
  <c r="N737" i="34"/>
  <c r="P737" i="34"/>
  <c r="Q737" i="34"/>
  <c r="S737" i="34"/>
  <c r="T737" i="34"/>
  <c r="V737" i="34"/>
  <c r="W737" i="34"/>
  <c r="X737" i="34"/>
  <c r="N738" i="34"/>
  <c r="P738" i="34"/>
  <c r="Q738" i="34"/>
  <c r="S738" i="34"/>
  <c r="T738" i="34"/>
  <c r="V738" i="34"/>
  <c r="W738" i="34"/>
  <c r="X738" i="34"/>
  <c r="N739" i="34"/>
  <c r="P739" i="34"/>
  <c r="Q739" i="34"/>
  <c r="S739" i="34"/>
  <c r="T739" i="34"/>
  <c r="V739" i="34"/>
  <c r="W739" i="34"/>
  <c r="X739" i="34"/>
  <c r="N740" i="34"/>
  <c r="P740" i="34"/>
  <c r="Q740" i="34"/>
  <c r="S740" i="34"/>
  <c r="T740" i="34"/>
  <c r="V740" i="34"/>
  <c r="W740" i="34"/>
  <c r="X740" i="34"/>
  <c r="N741" i="34"/>
  <c r="P741" i="34"/>
  <c r="Q741" i="34"/>
  <c r="S741" i="34"/>
  <c r="T741" i="34"/>
  <c r="V741" i="34"/>
  <c r="W741" i="34"/>
  <c r="X741" i="34"/>
  <c r="N742" i="34"/>
  <c r="P742" i="34"/>
  <c r="Q742" i="34"/>
  <c r="S742" i="34"/>
  <c r="T742" i="34"/>
  <c r="V742" i="34"/>
  <c r="W742" i="34"/>
  <c r="X742" i="34"/>
  <c r="N743" i="34"/>
  <c r="P743" i="34"/>
  <c r="Q743" i="34"/>
  <c r="S743" i="34"/>
  <c r="T743" i="34"/>
  <c r="V743" i="34"/>
  <c r="W743" i="34"/>
  <c r="X743" i="34"/>
  <c r="N744" i="34"/>
  <c r="P744" i="34"/>
  <c r="Q744" i="34"/>
  <c r="S744" i="34"/>
  <c r="T744" i="34"/>
  <c r="V744" i="34"/>
  <c r="W744" i="34"/>
  <c r="X744" i="34"/>
  <c r="N745" i="34"/>
  <c r="P745" i="34"/>
  <c r="Q745" i="34"/>
  <c r="S745" i="34"/>
  <c r="T745" i="34"/>
  <c r="V745" i="34"/>
  <c r="W745" i="34"/>
  <c r="X745" i="34"/>
  <c r="N746" i="34"/>
  <c r="P746" i="34"/>
  <c r="Q746" i="34"/>
  <c r="S746" i="34"/>
  <c r="T746" i="34"/>
  <c r="V746" i="34"/>
  <c r="W746" i="34"/>
  <c r="X746" i="34"/>
  <c r="N747" i="34"/>
  <c r="P747" i="34"/>
  <c r="Q747" i="34"/>
  <c r="S747" i="34"/>
  <c r="T747" i="34"/>
  <c r="V747" i="34"/>
  <c r="W747" i="34"/>
  <c r="X747" i="34"/>
  <c r="N748" i="34"/>
  <c r="P748" i="34"/>
  <c r="Q748" i="34"/>
  <c r="S748" i="34"/>
  <c r="T748" i="34"/>
  <c r="V748" i="34"/>
  <c r="W748" i="34"/>
  <c r="X748" i="34"/>
  <c r="N749" i="34"/>
  <c r="P749" i="34"/>
  <c r="Q749" i="34"/>
  <c r="S749" i="34"/>
  <c r="T749" i="34"/>
  <c r="V749" i="34"/>
  <c r="W749" i="34"/>
  <c r="X749" i="34"/>
  <c r="N750" i="34"/>
  <c r="P750" i="34"/>
  <c r="Q750" i="34"/>
  <c r="S750" i="34"/>
  <c r="T750" i="34"/>
  <c r="V750" i="34"/>
  <c r="W750" i="34"/>
  <c r="X750" i="34"/>
  <c r="N751" i="34"/>
  <c r="P751" i="34"/>
  <c r="Q751" i="34"/>
  <c r="S751" i="34"/>
  <c r="T751" i="34"/>
  <c r="V751" i="34"/>
  <c r="W751" i="34"/>
  <c r="X751" i="34"/>
  <c r="N752" i="34"/>
  <c r="P752" i="34"/>
  <c r="Q752" i="34"/>
  <c r="S752" i="34"/>
  <c r="T752" i="34"/>
  <c r="V752" i="34"/>
  <c r="W752" i="34"/>
  <c r="X752" i="34"/>
  <c r="N753" i="34"/>
  <c r="P753" i="34"/>
  <c r="Q753" i="34"/>
  <c r="S753" i="34"/>
  <c r="T753" i="34"/>
  <c r="V753" i="34"/>
  <c r="W753" i="34"/>
  <c r="X753" i="34"/>
  <c r="N754" i="34"/>
  <c r="P754" i="34"/>
  <c r="Q754" i="34"/>
  <c r="S754" i="34"/>
  <c r="T754" i="34"/>
  <c r="V754" i="34"/>
  <c r="W754" i="34"/>
  <c r="X754" i="34"/>
  <c r="N755" i="34"/>
  <c r="P755" i="34"/>
  <c r="Q755" i="34"/>
  <c r="S755" i="34"/>
  <c r="T755" i="34"/>
  <c r="V755" i="34"/>
  <c r="W755" i="34"/>
  <c r="X755" i="34"/>
  <c r="N756" i="34"/>
  <c r="P756" i="34"/>
  <c r="Q756" i="34"/>
  <c r="S756" i="34"/>
  <c r="T756" i="34"/>
  <c r="V756" i="34"/>
  <c r="W756" i="34"/>
  <c r="X756" i="34"/>
  <c r="N757" i="34"/>
  <c r="P757" i="34"/>
  <c r="Q757" i="34"/>
  <c r="S757" i="34"/>
  <c r="T757" i="34"/>
  <c r="V757" i="34"/>
  <c r="W757" i="34"/>
  <c r="X757" i="34"/>
  <c r="N758" i="34"/>
  <c r="P758" i="34"/>
  <c r="Q758" i="34"/>
  <c r="S758" i="34"/>
  <c r="T758" i="34"/>
  <c r="V758" i="34"/>
  <c r="W758" i="34"/>
  <c r="X758" i="34"/>
  <c r="N759" i="34"/>
  <c r="P759" i="34"/>
  <c r="Q759" i="34"/>
  <c r="S759" i="34"/>
  <c r="T759" i="34"/>
  <c r="V759" i="34"/>
  <c r="W759" i="34"/>
  <c r="X759" i="34"/>
  <c r="N760" i="34"/>
  <c r="P760" i="34"/>
  <c r="Q760" i="34"/>
  <c r="S760" i="34"/>
  <c r="T760" i="34"/>
  <c r="V760" i="34"/>
  <c r="W760" i="34"/>
  <c r="X760" i="34"/>
  <c r="N761" i="34"/>
  <c r="P761" i="34"/>
  <c r="Q761" i="34"/>
  <c r="S761" i="34"/>
  <c r="T761" i="34"/>
  <c r="V761" i="34"/>
  <c r="W761" i="34"/>
  <c r="X761" i="34"/>
  <c r="N762" i="34"/>
  <c r="P762" i="34"/>
  <c r="Q762" i="34"/>
  <c r="S762" i="34"/>
  <c r="T762" i="34"/>
  <c r="V762" i="34"/>
  <c r="W762" i="34"/>
  <c r="X762" i="34"/>
  <c r="N763" i="34"/>
  <c r="P763" i="34"/>
  <c r="Q763" i="34"/>
  <c r="S763" i="34"/>
  <c r="T763" i="34"/>
  <c r="V763" i="34"/>
  <c r="W763" i="34"/>
  <c r="X763" i="34"/>
  <c r="N764" i="34"/>
  <c r="P764" i="34"/>
  <c r="Q764" i="34"/>
  <c r="S764" i="34"/>
  <c r="T764" i="34"/>
  <c r="V764" i="34"/>
  <c r="W764" i="34"/>
  <c r="X764" i="34"/>
  <c r="N765" i="34"/>
  <c r="P765" i="34"/>
  <c r="Q765" i="34"/>
  <c r="S765" i="34"/>
  <c r="T765" i="34"/>
  <c r="V765" i="34"/>
  <c r="W765" i="34"/>
  <c r="X765" i="34"/>
  <c r="N766" i="34"/>
  <c r="P766" i="34"/>
  <c r="Q766" i="34"/>
  <c r="S766" i="34"/>
  <c r="T766" i="34"/>
  <c r="V766" i="34"/>
  <c r="W766" i="34"/>
  <c r="X766" i="34"/>
  <c r="N767" i="34"/>
  <c r="P767" i="34"/>
  <c r="Q767" i="34"/>
  <c r="S767" i="34"/>
  <c r="T767" i="34"/>
  <c r="V767" i="34"/>
  <c r="W767" i="34"/>
  <c r="X767" i="34"/>
  <c r="N768" i="34"/>
  <c r="P768" i="34"/>
  <c r="Q768" i="34"/>
  <c r="S768" i="34"/>
  <c r="T768" i="34"/>
  <c r="V768" i="34"/>
  <c r="W768" i="34"/>
  <c r="X768" i="34"/>
  <c r="N769" i="34"/>
  <c r="P769" i="34"/>
  <c r="Q769" i="34"/>
  <c r="S769" i="34"/>
  <c r="T769" i="34"/>
  <c r="V769" i="34"/>
  <c r="W769" i="34"/>
  <c r="X769" i="34"/>
  <c r="N770" i="34"/>
  <c r="P770" i="34"/>
  <c r="Q770" i="34"/>
  <c r="S770" i="34"/>
  <c r="T770" i="34"/>
  <c r="V770" i="34"/>
  <c r="W770" i="34"/>
  <c r="X770" i="34"/>
  <c r="N771" i="34"/>
  <c r="P771" i="34"/>
  <c r="Q771" i="34"/>
  <c r="S771" i="34"/>
  <c r="T771" i="34"/>
  <c r="V771" i="34"/>
  <c r="W771" i="34"/>
  <c r="X771" i="34"/>
  <c r="N772" i="34"/>
  <c r="P772" i="34"/>
  <c r="Q772" i="34"/>
  <c r="S772" i="34"/>
  <c r="T772" i="34"/>
  <c r="V772" i="34"/>
  <c r="W772" i="34"/>
  <c r="X772" i="34"/>
  <c r="N773" i="34"/>
  <c r="P773" i="34"/>
  <c r="Q773" i="34"/>
  <c r="S773" i="34"/>
  <c r="T773" i="34"/>
  <c r="V773" i="34"/>
  <c r="W773" i="34"/>
  <c r="X773" i="34"/>
  <c r="N774" i="34"/>
  <c r="P774" i="34"/>
  <c r="Q774" i="34"/>
  <c r="S774" i="34"/>
  <c r="T774" i="34"/>
  <c r="V774" i="34"/>
  <c r="W774" i="34"/>
  <c r="X774" i="34"/>
  <c r="N775" i="34"/>
  <c r="P775" i="34"/>
  <c r="Q775" i="34"/>
  <c r="S775" i="34"/>
  <c r="T775" i="34"/>
  <c r="V775" i="34"/>
  <c r="W775" i="34"/>
  <c r="X775" i="34"/>
  <c r="N776" i="34"/>
  <c r="P776" i="34"/>
  <c r="Q776" i="34"/>
  <c r="S776" i="34"/>
  <c r="T776" i="34"/>
  <c r="V776" i="34"/>
  <c r="W776" i="34"/>
  <c r="X776" i="34"/>
  <c r="N777" i="34"/>
  <c r="P777" i="34"/>
  <c r="Q777" i="34"/>
  <c r="S777" i="34"/>
  <c r="T777" i="34"/>
  <c r="V777" i="34"/>
  <c r="W777" i="34"/>
  <c r="X777" i="34"/>
  <c r="N778" i="34"/>
  <c r="P778" i="34"/>
  <c r="Q778" i="34"/>
  <c r="S778" i="34"/>
  <c r="T778" i="34"/>
  <c r="V778" i="34"/>
  <c r="W778" i="34"/>
  <c r="X778" i="34"/>
  <c r="N779" i="34"/>
  <c r="P779" i="34"/>
  <c r="Q779" i="34"/>
  <c r="S779" i="34"/>
  <c r="T779" i="34"/>
  <c r="V779" i="34"/>
  <c r="W779" i="34"/>
  <c r="X779" i="34"/>
  <c r="N780" i="34"/>
  <c r="P780" i="34"/>
  <c r="Q780" i="34"/>
  <c r="S780" i="34"/>
  <c r="T780" i="34"/>
  <c r="V780" i="34"/>
  <c r="W780" i="34"/>
  <c r="X780" i="34"/>
  <c r="N781" i="34"/>
  <c r="P781" i="34"/>
  <c r="Q781" i="34"/>
  <c r="S781" i="34"/>
  <c r="T781" i="34"/>
  <c r="V781" i="34"/>
  <c r="W781" i="34"/>
  <c r="X781" i="34"/>
  <c r="N782" i="34"/>
  <c r="P782" i="34"/>
  <c r="Q782" i="34"/>
  <c r="S782" i="34"/>
  <c r="T782" i="34"/>
  <c r="V782" i="34"/>
  <c r="W782" i="34"/>
  <c r="X782" i="34"/>
  <c r="N783" i="34"/>
  <c r="P783" i="34"/>
  <c r="Q783" i="34"/>
  <c r="S783" i="34"/>
  <c r="T783" i="34"/>
  <c r="V783" i="34"/>
  <c r="W783" i="34"/>
  <c r="X783" i="34"/>
  <c r="N784" i="34"/>
  <c r="P784" i="34"/>
  <c r="Q784" i="34"/>
  <c r="S784" i="34"/>
  <c r="T784" i="34"/>
  <c r="V784" i="34"/>
  <c r="W784" i="34"/>
  <c r="X784" i="34"/>
  <c r="N785" i="34"/>
  <c r="P785" i="34"/>
  <c r="Q785" i="34"/>
  <c r="S785" i="34"/>
  <c r="T785" i="34"/>
  <c r="V785" i="34"/>
  <c r="W785" i="34"/>
  <c r="X785" i="34"/>
  <c r="N786" i="34"/>
  <c r="P786" i="34"/>
  <c r="Q786" i="34"/>
  <c r="S786" i="34"/>
  <c r="T786" i="34"/>
  <c r="V786" i="34"/>
  <c r="W786" i="34"/>
  <c r="X786" i="34"/>
  <c r="N787" i="34"/>
  <c r="P787" i="34"/>
  <c r="Q787" i="34"/>
  <c r="S787" i="34"/>
  <c r="T787" i="34"/>
  <c r="V787" i="34"/>
  <c r="W787" i="34"/>
  <c r="X787" i="34"/>
  <c r="N788" i="34"/>
  <c r="P788" i="34"/>
  <c r="Q788" i="34"/>
  <c r="S788" i="34"/>
  <c r="T788" i="34"/>
  <c r="V788" i="34"/>
  <c r="W788" i="34"/>
  <c r="X788" i="34"/>
  <c r="N789" i="34"/>
  <c r="P789" i="34"/>
  <c r="Q789" i="34"/>
  <c r="S789" i="34"/>
  <c r="T789" i="34"/>
  <c r="V789" i="34"/>
  <c r="W789" i="34"/>
  <c r="X789" i="34"/>
  <c r="N790" i="34"/>
  <c r="P790" i="34"/>
  <c r="Q790" i="34"/>
  <c r="S790" i="34"/>
  <c r="T790" i="34"/>
  <c r="V790" i="34"/>
  <c r="W790" i="34"/>
  <c r="X790" i="34"/>
  <c r="N791" i="34"/>
  <c r="P791" i="34"/>
  <c r="Q791" i="34"/>
  <c r="S791" i="34"/>
  <c r="T791" i="34"/>
  <c r="V791" i="34"/>
  <c r="W791" i="34"/>
  <c r="X791" i="34"/>
  <c r="N792" i="34"/>
  <c r="P792" i="34"/>
  <c r="Q792" i="34"/>
  <c r="S792" i="34"/>
  <c r="T792" i="34"/>
  <c r="V792" i="34"/>
  <c r="W792" i="34"/>
  <c r="X792" i="34"/>
  <c r="N793" i="34"/>
  <c r="P793" i="34"/>
  <c r="Q793" i="34"/>
  <c r="S793" i="34"/>
  <c r="T793" i="34"/>
  <c r="V793" i="34"/>
  <c r="W793" i="34"/>
  <c r="X793" i="34"/>
  <c r="N794" i="34"/>
  <c r="P794" i="34"/>
  <c r="Q794" i="34"/>
  <c r="S794" i="34"/>
  <c r="T794" i="34"/>
  <c r="V794" i="34"/>
  <c r="W794" i="34"/>
  <c r="X794" i="34"/>
  <c r="N795" i="34"/>
  <c r="P795" i="34"/>
  <c r="Q795" i="34"/>
  <c r="S795" i="34"/>
  <c r="T795" i="34"/>
  <c r="V795" i="34"/>
  <c r="W795" i="34"/>
  <c r="X795" i="34"/>
  <c r="N796" i="34"/>
  <c r="P796" i="34"/>
  <c r="Q796" i="34"/>
  <c r="S796" i="34"/>
  <c r="T796" i="34"/>
  <c r="V796" i="34"/>
  <c r="W796" i="34"/>
  <c r="X796" i="34"/>
  <c r="N797" i="34"/>
  <c r="P797" i="34"/>
  <c r="Q797" i="34"/>
  <c r="S797" i="34"/>
  <c r="T797" i="34"/>
  <c r="V797" i="34"/>
  <c r="W797" i="34"/>
  <c r="X797" i="34"/>
  <c r="N798" i="34"/>
  <c r="P798" i="34"/>
  <c r="Q798" i="34"/>
  <c r="S798" i="34"/>
  <c r="T798" i="34"/>
  <c r="V798" i="34"/>
  <c r="W798" i="34"/>
  <c r="X798" i="34"/>
  <c r="N799" i="34"/>
  <c r="P799" i="34"/>
  <c r="Q799" i="34"/>
  <c r="S799" i="34"/>
  <c r="T799" i="34"/>
  <c r="V799" i="34"/>
  <c r="W799" i="34"/>
  <c r="X799" i="34"/>
  <c r="N800" i="34"/>
  <c r="P800" i="34"/>
  <c r="Q800" i="34"/>
  <c r="S800" i="34"/>
  <c r="T800" i="34"/>
  <c r="V800" i="34"/>
  <c r="W800" i="34"/>
  <c r="X800" i="34"/>
  <c r="N801" i="34"/>
  <c r="P801" i="34"/>
  <c r="Q801" i="34"/>
  <c r="S801" i="34"/>
  <c r="T801" i="34"/>
  <c r="V801" i="34"/>
  <c r="W801" i="34"/>
  <c r="X801" i="34"/>
  <c r="N802" i="34"/>
  <c r="P802" i="34"/>
  <c r="Q802" i="34"/>
  <c r="S802" i="34"/>
  <c r="T802" i="34"/>
  <c r="V802" i="34"/>
  <c r="W802" i="34"/>
  <c r="X802" i="34"/>
  <c r="N803" i="34"/>
  <c r="P803" i="34"/>
  <c r="Q803" i="34"/>
  <c r="S803" i="34"/>
  <c r="T803" i="34"/>
  <c r="V803" i="34"/>
  <c r="W803" i="34"/>
  <c r="X803" i="34"/>
  <c r="N804" i="34"/>
  <c r="P804" i="34"/>
  <c r="Q804" i="34"/>
  <c r="S804" i="34"/>
  <c r="T804" i="34"/>
  <c r="V804" i="34"/>
  <c r="W804" i="34"/>
  <c r="X804" i="34"/>
  <c r="N805" i="34"/>
  <c r="P805" i="34"/>
  <c r="Q805" i="34"/>
  <c r="S805" i="34"/>
  <c r="T805" i="34"/>
  <c r="V805" i="34"/>
  <c r="W805" i="34"/>
  <c r="X805" i="34"/>
  <c r="N806" i="34"/>
  <c r="P806" i="34"/>
  <c r="Q806" i="34"/>
  <c r="S806" i="34"/>
  <c r="T806" i="34"/>
  <c r="V806" i="34"/>
  <c r="W806" i="34"/>
  <c r="X806" i="34"/>
  <c r="N807" i="34"/>
  <c r="P807" i="34"/>
  <c r="Q807" i="34"/>
  <c r="S807" i="34"/>
  <c r="T807" i="34"/>
  <c r="V807" i="34"/>
  <c r="W807" i="34"/>
  <c r="X807" i="34"/>
  <c r="N808" i="34"/>
  <c r="P808" i="34"/>
  <c r="Q808" i="34"/>
  <c r="S808" i="34"/>
  <c r="T808" i="34"/>
  <c r="V808" i="34"/>
  <c r="W808" i="34"/>
  <c r="X808" i="34"/>
  <c r="N809" i="34"/>
  <c r="P809" i="34"/>
  <c r="Q809" i="34"/>
  <c r="S809" i="34"/>
  <c r="T809" i="34"/>
  <c r="V809" i="34"/>
  <c r="W809" i="34"/>
  <c r="X809" i="34"/>
  <c r="N810" i="34"/>
  <c r="P810" i="34"/>
  <c r="Q810" i="34"/>
  <c r="S810" i="34"/>
  <c r="T810" i="34"/>
  <c r="V810" i="34"/>
  <c r="W810" i="34"/>
  <c r="X810" i="34"/>
  <c r="N811" i="34"/>
  <c r="P811" i="34"/>
  <c r="Q811" i="34"/>
  <c r="S811" i="34"/>
  <c r="T811" i="34"/>
  <c r="V811" i="34"/>
  <c r="W811" i="34"/>
  <c r="X811" i="34"/>
  <c r="N812" i="34"/>
  <c r="P812" i="34"/>
  <c r="Q812" i="34"/>
  <c r="S812" i="34"/>
  <c r="T812" i="34"/>
  <c r="V812" i="34"/>
  <c r="W812" i="34"/>
  <c r="X812" i="34"/>
  <c r="N813" i="34"/>
  <c r="P813" i="34"/>
  <c r="Q813" i="34"/>
  <c r="S813" i="34"/>
  <c r="T813" i="34"/>
  <c r="V813" i="34"/>
  <c r="W813" i="34"/>
  <c r="X813" i="34"/>
  <c r="N814" i="34"/>
  <c r="P814" i="34"/>
  <c r="Q814" i="34"/>
  <c r="S814" i="34"/>
  <c r="T814" i="34"/>
  <c r="V814" i="34"/>
  <c r="W814" i="34"/>
  <c r="X814" i="34"/>
  <c r="N815" i="34"/>
  <c r="P815" i="34"/>
  <c r="Q815" i="34"/>
  <c r="S815" i="34"/>
  <c r="T815" i="34"/>
  <c r="V815" i="34"/>
  <c r="W815" i="34"/>
  <c r="X815" i="34"/>
  <c r="N816" i="34"/>
  <c r="P816" i="34"/>
  <c r="Q816" i="34"/>
  <c r="S816" i="34"/>
  <c r="T816" i="34"/>
  <c r="V816" i="34"/>
  <c r="W816" i="34"/>
  <c r="X816" i="34"/>
  <c r="N817" i="34"/>
  <c r="P817" i="34"/>
  <c r="Q817" i="34"/>
  <c r="S817" i="34"/>
  <c r="T817" i="34"/>
  <c r="V817" i="34"/>
  <c r="W817" i="34"/>
  <c r="X817" i="34"/>
  <c r="N818" i="34"/>
  <c r="P818" i="34"/>
  <c r="Q818" i="34"/>
  <c r="S818" i="34"/>
  <c r="T818" i="34"/>
  <c r="V818" i="34"/>
  <c r="W818" i="34"/>
  <c r="X818" i="34"/>
  <c r="N819" i="34"/>
  <c r="P819" i="34"/>
  <c r="Q819" i="34"/>
  <c r="S819" i="34"/>
  <c r="T819" i="34"/>
  <c r="V819" i="34"/>
  <c r="W819" i="34"/>
  <c r="X819" i="34"/>
  <c r="N820" i="34"/>
  <c r="P820" i="34"/>
  <c r="Q820" i="34"/>
  <c r="S820" i="34"/>
  <c r="T820" i="34"/>
  <c r="V820" i="34"/>
  <c r="W820" i="34"/>
  <c r="X820" i="34"/>
  <c r="N821" i="34"/>
  <c r="P821" i="34"/>
  <c r="Q821" i="34"/>
  <c r="S821" i="34"/>
  <c r="T821" i="34"/>
  <c r="V821" i="34"/>
  <c r="W821" i="34"/>
  <c r="X821" i="34"/>
  <c r="N822" i="34"/>
  <c r="P822" i="34"/>
  <c r="Q822" i="34"/>
  <c r="S822" i="34"/>
  <c r="T822" i="34"/>
  <c r="V822" i="34"/>
  <c r="W822" i="34"/>
  <c r="X822" i="34"/>
  <c r="N823" i="34"/>
  <c r="P823" i="34"/>
  <c r="Q823" i="34"/>
  <c r="S823" i="34"/>
  <c r="T823" i="34"/>
  <c r="V823" i="34"/>
  <c r="W823" i="34"/>
  <c r="X823" i="34"/>
  <c r="N824" i="34"/>
  <c r="P824" i="34"/>
  <c r="Q824" i="34"/>
  <c r="S824" i="34"/>
  <c r="T824" i="34"/>
  <c r="V824" i="34"/>
  <c r="W824" i="34"/>
  <c r="X824" i="34"/>
  <c r="N825" i="34"/>
  <c r="P825" i="34"/>
  <c r="Q825" i="34"/>
  <c r="S825" i="34"/>
  <c r="T825" i="34"/>
  <c r="F825" i="34"/>
  <c r="W825" i="34" s="1"/>
  <c r="X825" i="34"/>
  <c r="N826" i="34"/>
  <c r="Q826" i="34"/>
  <c r="S826" i="34"/>
  <c r="T826" i="34"/>
  <c r="V826" i="34"/>
  <c r="W826" i="34"/>
  <c r="X826" i="34"/>
  <c r="N827" i="34"/>
  <c r="P827" i="34"/>
  <c r="Q827" i="34"/>
  <c r="S827" i="34"/>
  <c r="T827" i="34"/>
  <c r="V827" i="34"/>
  <c r="W827" i="34"/>
  <c r="X827" i="34"/>
  <c r="N828" i="34"/>
  <c r="P828" i="34"/>
  <c r="Q828" i="34"/>
  <c r="S828" i="34"/>
  <c r="T828" i="34"/>
  <c r="V828" i="34"/>
  <c r="W828" i="34"/>
  <c r="X828" i="34"/>
  <c r="N829" i="34"/>
  <c r="P829" i="34"/>
  <c r="Q829" i="34"/>
  <c r="S829" i="34"/>
  <c r="T829" i="34"/>
  <c r="V829" i="34"/>
  <c r="W829" i="34"/>
  <c r="X829" i="34"/>
  <c r="N830" i="34"/>
  <c r="P830" i="34"/>
  <c r="Q830" i="34"/>
  <c r="S830" i="34"/>
  <c r="T830" i="34"/>
  <c r="V830" i="34"/>
  <c r="W830" i="34"/>
  <c r="X830" i="34"/>
  <c r="N831" i="34"/>
  <c r="P831" i="34"/>
  <c r="Q831" i="34"/>
  <c r="S831" i="34"/>
  <c r="T831" i="34"/>
  <c r="V831" i="34"/>
  <c r="W831" i="34"/>
  <c r="X831" i="34"/>
  <c r="N832" i="34"/>
  <c r="P832" i="34"/>
  <c r="Q832" i="34"/>
  <c r="S832" i="34"/>
  <c r="T832" i="34"/>
  <c r="V832" i="34"/>
  <c r="W832" i="34"/>
  <c r="X832" i="34"/>
  <c r="N833" i="34"/>
  <c r="P833" i="34"/>
  <c r="Q833" i="34"/>
  <c r="S833" i="34"/>
  <c r="T833" i="34"/>
  <c r="V833" i="34"/>
  <c r="W833" i="34"/>
  <c r="X833" i="34"/>
  <c r="N834" i="34"/>
  <c r="P834" i="34"/>
  <c r="Q834" i="34"/>
  <c r="S834" i="34"/>
  <c r="T834" i="34"/>
  <c r="V834" i="34"/>
  <c r="W834" i="34"/>
  <c r="X834" i="34"/>
  <c r="N835" i="34"/>
  <c r="P835" i="34"/>
  <c r="Q835" i="34"/>
  <c r="S835" i="34"/>
  <c r="T835" i="34"/>
  <c r="V835" i="34"/>
  <c r="W835" i="34"/>
  <c r="X835" i="34"/>
  <c r="N836" i="34"/>
  <c r="P836" i="34"/>
  <c r="Q836" i="34"/>
  <c r="S836" i="34"/>
  <c r="T836" i="34"/>
  <c r="V836" i="34"/>
  <c r="W836" i="34"/>
  <c r="X836" i="34"/>
  <c r="N837" i="34"/>
  <c r="P837" i="34"/>
  <c r="Q837" i="34"/>
  <c r="S837" i="34"/>
  <c r="T837" i="34"/>
  <c r="V837" i="34"/>
  <c r="W837" i="34"/>
  <c r="X837" i="34"/>
  <c r="N844" i="34"/>
  <c r="P844" i="34"/>
  <c r="Q844" i="34"/>
  <c r="S844" i="34"/>
  <c r="T844" i="34"/>
  <c r="V844" i="34"/>
  <c r="W844" i="34"/>
  <c r="X844" i="34"/>
  <c r="N845" i="34"/>
  <c r="P845" i="34"/>
  <c r="Q845" i="34"/>
  <c r="S845" i="34"/>
  <c r="T845" i="34"/>
  <c r="V845" i="34"/>
  <c r="W845" i="34"/>
  <c r="X845" i="34"/>
  <c r="N846" i="34"/>
  <c r="P846" i="34"/>
  <c r="Q846" i="34"/>
  <c r="S846" i="34"/>
  <c r="T846" i="34"/>
  <c r="V846" i="34"/>
  <c r="W846" i="34"/>
  <c r="X846" i="34"/>
  <c r="N847" i="34"/>
  <c r="P847" i="34"/>
  <c r="Q847" i="34"/>
  <c r="S847" i="34"/>
  <c r="T847" i="34"/>
  <c r="V847" i="34"/>
  <c r="W847" i="34"/>
  <c r="X847" i="34"/>
  <c r="N848" i="34"/>
  <c r="P848" i="34"/>
  <c r="Q848" i="34"/>
  <c r="S848" i="34"/>
  <c r="T848" i="34"/>
  <c r="V848" i="34"/>
  <c r="W848" i="34"/>
  <c r="X848" i="34"/>
  <c r="N849" i="34"/>
  <c r="P849" i="34"/>
  <c r="Q849" i="34"/>
  <c r="S849" i="34"/>
  <c r="T849" i="34"/>
  <c r="V849" i="34"/>
  <c r="W849" i="34"/>
  <c r="X849" i="34"/>
  <c r="N850" i="34"/>
  <c r="P850" i="34"/>
  <c r="Q850" i="34"/>
  <c r="S850" i="34"/>
  <c r="T850" i="34"/>
  <c r="V850" i="34"/>
  <c r="W850" i="34"/>
  <c r="X850" i="34"/>
  <c r="N851" i="34"/>
  <c r="P851" i="34"/>
  <c r="Q851" i="34"/>
  <c r="S851" i="34"/>
  <c r="T851" i="34"/>
  <c r="V851" i="34"/>
  <c r="W851" i="34"/>
  <c r="X851" i="34"/>
  <c r="N852" i="34"/>
  <c r="P852" i="34"/>
  <c r="Q852" i="34"/>
  <c r="S852" i="34"/>
  <c r="T852" i="34"/>
  <c r="V852" i="34"/>
  <c r="W852" i="34"/>
  <c r="X852" i="34"/>
  <c r="N853" i="34"/>
  <c r="P853" i="34"/>
  <c r="Q853" i="34"/>
  <c r="S853" i="34"/>
  <c r="T853" i="34"/>
  <c r="V853" i="34"/>
  <c r="W853" i="34"/>
  <c r="X853" i="34"/>
  <c r="N854" i="34"/>
  <c r="P854" i="34"/>
  <c r="Q854" i="34"/>
  <c r="S854" i="34"/>
  <c r="T854" i="34"/>
  <c r="V854" i="34"/>
  <c r="W854" i="34"/>
  <c r="X854" i="34"/>
  <c r="N855" i="34"/>
  <c r="P855" i="34"/>
  <c r="Q855" i="34"/>
  <c r="S855" i="34"/>
  <c r="T855" i="34"/>
  <c r="V855" i="34"/>
  <c r="W855" i="34"/>
  <c r="X855" i="34"/>
  <c r="N856" i="34"/>
  <c r="P856" i="34"/>
  <c r="Q856" i="34"/>
  <c r="S856" i="34"/>
  <c r="T856" i="34"/>
  <c r="V856" i="34"/>
  <c r="W856" i="34"/>
  <c r="X856" i="34"/>
  <c r="N857" i="34"/>
  <c r="P857" i="34"/>
  <c r="Q857" i="34"/>
  <c r="S857" i="34"/>
  <c r="T857" i="34"/>
  <c r="V857" i="34"/>
  <c r="W857" i="34"/>
  <c r="X857" i="34"/>
  <c r="N858" i="34"/>
  <c r="P858" i="34"/>
  <c r="Q858" i="34"/>
  <c r="S858" i="34"/>
  <c r="T858" i="34"/>
  <c r="V858" i="34"/>
  <c r="W858" i="34"/>
  <c r="X858" i="34"/>
  <c r="N859" i="34"/>
  <c r="P859" i="34"/>
  <c r="Q859" i="34"/>
  <c r="S859" i="34"/>
  <c r="T859" i="34"/>
  <c r="V859" i="34"/>
  <c r="W859" i="34"/>
  <c r="X859" i="34"/>
  <c r="N860" i="34"/>
  <c r="P860" i="34"/>
  <c r="Q860" i="34"/>
  <c r="S860" i="34"/>
  <c r="T860" i="34"/>
  <c r="V860" i="34"/>
  <c r="W860" i="34"/>
  <c r="X860" i="34"/>
  <c r="N861" i="34"/>
  <c r="P861" i="34"/>
  <c r="Q861" i="34"/>
  <c r="S861" i="34"/>
  <c r="T861" i="34"/>
  <c r="V861" i="34"/>
  <c r="W861" i="34"/>
  <c r="X861" i="34"/>
  <c r="N862" i="34"/>
  <c r="P862" i="34"/>
  <c r="Q862" i="34"/>
  <c r="S862" i="34"/>
  <c r="T862" i="34"/>
  <c r="V862" i="34"/>
  <c r="W862" i="34"/>
  <c r="X862" i="34"/>
  <c r="N863" i="34"/>
  <c r="P863" i="34"/>
  <c r="Q863" i="34"/>
  <c r="S863" i="34"/>
  <c r="T863" i="34"/>
  <c r="V863" i="34"/>
  <c r="W863" i="34"/>
  <c r="X863" i="34"/>
  <c r="N864" i="34"/>
  <c r="P864" i="34"/>
  <c r="Q864" i="34"/>
  <c r="S864" i="34"/>
  <c r="T864" i="34"/>
  <c r="V864" i="34"/>
  <c r="W864" i="34"/>
  <c r="X864" i="34"/>
  <c r="N865" i="34"/>
  <c r="P865" i="34"/>
  <c r="Q865" i="34"/>
  <c r="S865" i="34"/>
  <c r="T865" i="34"/>
  <c r="V865" i="34"/>
  <c r="W865" i="34"/>
  <c r="X865" i="34"/>
  <c r="N866" i="34"/>
  <c r="P866" i="34"/>
  <c r="Q866" i="34"/>
  <c r="S866" i="34"/>
  <c r="T866" i="34"/>
  <c r="V866" i="34"/>
  <c r="W866" i="34"/>
  <c r="X866" i="34"/>
  <c r="N867" i="34"/>
  <c r="P867" i="34"/>
  <c r="Q867" i="34"/>
  <c r="S867" i="34"/>
  <c r="T867" i="34"/>
  <c r="V867" i="34"/>
  <c r="W867" i="34"/>
  <c r="X867" i="34"/>
  <c r="N868" i="34"/>
  <c r="P868" i="34"/>
  <c r="Q868" i="34"/>
  <c r="S868" i="34"/>
  <c r="T868" i="34"/>
  <c r="V868" i="34"/>
  <c r="W868" i="34"/>
  <c r="X868" i="34"/>
  <c r="N869" i="34"/>
  <c r="P869" i="34"/>
  <c r="Q869" i="34"/>
  <c r="S869" i="34"/>
  <c r="T869" i="34"/>
  <c r="V869" i="34"/>
  <c r="W869" i="34"/>
  <c r="X869" i="34"/>
  <c r="N870" i="34"/>
  <c r="P870" i="34"/>
  <c r="Q870" i="34"/>
  <c r="S870" i="34"/>
  <c r="T870" i="34"/>
  <c r="V870" i="34"/>
  <c r="W870" i="34"/>
  <c r="X870" i="34"/>
  <c r="N871" i="34"/>
  <c r="P871" i="34"/>
  <c r="Q871" i="34"/>
  <c r="S871" i="34"/>
  <c r="T871" i="34"/>
  <c r="V871" i="34"/>
  <c r="W871" i="34"/>
  <c r="X871" i="34"/>
  <c r="N872" i="34"/>
  <c r="P872" i="34"/>
  <c r="Q872" i="34"/>
  <c r="S872" i="34"/>
  <c r="T872" i="34"/>
  <c r="V872" i="34"/>
  <c r="W872" i="34"/>
  <c r="X872" i="34"/>
  <c r="N873" i="34"/>
  <c r="P873" i="34"/>
  <c r="Q873" i="34"/>
  <c r="S873" i="34"/>
  <c r="T873" i="34"/>
  <c r="V873" i="34"/>
  <c r="W873" i="34"/>
  <c r="X873" i="34"/>
  <c r="N874" i="34"/>
  <c r="P874" i="34"/>
  <c r="Q874" i="34"/>
  <c r="S874" i="34"/>
  <c r="T874" i="34"/>
  <c r="V874" i="34"/>
  <c r="W874" i="34"/>
  <c r="X874" i="34"/>
  <c r="N875" i="34"/>
  <c r="P875" i="34"/>
  <c r="Q875" i="34"/>
  <c r="S875" i="34"/>
  <c r="T875" i="34"/>
  <c r="V875" i="34"/>
  <c r="W875" i="34"/>
  <c r="X875" i="34"/>
  <c r="N876" i="34"/>
  <c r="P876" i="34"/>
  <c r="Q876" i="34"/>
  <c r="S876" i="34"/>
  <c r="T876" i="34"/>
  <c r="V876" i="34"/>
  <c r="W876" i="34"/>
  <c r="X876" i="34"/>
  <c r="N877" i="34"/>
  <c r="P877" i="34"/>
  <c r="Q877" i="34"/>
  <c r="S877" i="34"/>
  <c r="T877" i="34"/>
  <c r="V877" i="34"/>
  <c r="W877" i="34"/>
  <c r="X877" i="34"/>
  <c r="N878" i="34"/>
  <c r="P878" i="34"/>
  <c r="Q878" i="34"/>
  <c r="S878" i="34"/>
  <c r="T878" i="34"/>
  <c r="V878" i="34"/>
  <c r="W878" i="34"/>
  <c r="X878" i="34"/>
  <c r="N879" i="34"/>
  <c r="P879" i="34"/>
  <c r="Q879" i="34"/>
  <c r="S879" i="34"/>
  <c r="T879" i="34"/>
  <c r="V879" i="34"/>
  <c r="W879" i="34"/>
  <c r="X879" i="34"/>
  <c r="N880" i="34"/>
  <c r="P880" i="34"/>
  <c r="Q880" i="34"/>
  <c r="S880" i="34"/>
  <c r="T880" i="34"/>
  <c r="V880" i="34"/>
  <c r="W880" i="34"/>
  <c r="X880" i="34"/>
  <c r="N881" i="34"/>
  <c r="P881" i="34"/>
  <c r="Q881" i="34"/>
  <c r="S881" i="34"/>
  <c r="T881" i="34"/>
  <c r="V881" i="34"/>
  <c r="W881" i="34"/>
  <c r="X881" i="34"/>
  <c r="N882" i="34"/>
  <c r="P882" i="34"/>
  <c r="Q882" i="34"/>
  <c r="S882" i="34"/>
  <c r="T882" i="34"/>
  <c r="V882" i="34"/>
  <c r="W882" i="34"/>
  <c r="X882" i="34"/>
  <c r="N883" i="34"/>
  <c r="P883" i="34"/>
  <c r="Q883" i="34"/>
  <c r="S883" i="34"/>
  <c r="T883" i="34"/>
  <c r="V883" i="34"/>
  <c r="W883" i="34"/>
  <c r="X883" i="34"/>
  <c r="N884" i="34"/>
  <c r="P884" i="34"/>
  <c r="Q884" i="34"/>
  <c r="S884" i="34"/>
  <c r="T884" i="34"/>
  <c r="V884" i="34"/>
  <c r="W884" i="34"/>
  <c r="X884" i="34"/>
  <c r="N885" i="34"/>
  <c r="P885" i="34"/>
  <c r="Q885" i="34"/>
  <c r="S885" i="34"/>
  <c r="T885" i="34"/>
  <c r="V885" i="34"/>
  <c r="W885" i="34"/>
  <c r="X885" i="34"/>
  <c r="N886" i="34"/>
  <c r="P886" i="34"/>
  <c r="Q886" i="34"/>
  <c r="S886" i="34"/>
  <c r="T886" i="34"/>
  <c r="V886" i="34"/>
  <c r="W886" i="34"/>
  <c r="X886" i="34"/>
  <c r="N887" i="34"/>
  <c r="P887" i="34"/>
  <c r="Q887" i="34"/>
  <c r="S887" i="34"/>
  <c r="T887" i="34"/>
  <c r="V887" i="34"/>
  <c r="W887" i="34"/>
  <c r="X887" i="34"/>
  <c r="N888" i="34"/>
  <c r="P888" i="34"/>
  <c r="Q888" i="34"/>
  <c r="S888" i="34"/>
  <c r="T888" i="34"/>
  <c r="V888" i="34"/>
  <c r="W888" i="34"/>
  <c r="X888" i="34"/>
  <c r="N889" i="34"/>
  <c r="P889" i="34"/>
  <c r="Q889" i="34"/>
  <c r="S889" i="34"/>
  <c r="T889" i="34"/>
  <c r="V889" i="34"/>
  <c r="W889" i="34"/>
  <c r="X889" i="34"/>
  <c r="N890" i="34"/>
  <c r="P890" i="34"/>
  <c r="Q890" i="34"/>
  <c r="S890" i="34"/>
  <c r="T890" i="34"/>
  <c r="V890" i="34"/>
  <c r="W890" i="34"/>
  <c r="X890" i="34"/>
  <c r="N891" i="34"/>
  <c r="P891" i="34"/>
  <c r="Q891" i="34"/>
  <c r="S891" i="34"/>
  <c r="T891" i="34"/>
  <c r="V891" i="34"/>
  <c r="W891" i="34"/>
  <c r="X891" i="34"/>
  <c r="N892" i="34"/>
  <c r="P892" i="34"/>
  <c r="Q892" i="34"/>
  <c r="S892" i="34"/>
  <c r="T892" i="34"/>
  <c r="V892" i="34"/>
  <c r="W892" i="34"/>
  <c r="X892" i="34"/>
  <c r="N893" i="34"/>
  <c r="P893" i="34"/>
  <c r="Q893" i="34"/>
  <c r="S893" i="34"/>
  <c r="T893" i="34"/>
  <c r="V893" i="34"/>
  <c r="W893" i="34"/>
  <c r="X893" i="34"/>
  <c r="N894" i="34"/>
  <c r="P894" i="34"/>
  <c r="Q894" i="34"/>
  <c r="S894" i="34"/>
  <c r="T894" i="34"/>
  <c r="V894" i="34"/>
  <c r="W894" i="34"/>
  <c r="X894" i="34"/>
  <c r="N895" i="34"/>
  <c r="P895" i="34"/>
  <c r="Q895" i="34"/>
  <c r="S895" i="34"/>
  <c r="T895" i="34"/>
  <c r="V895" i="34"/>
  <c r="W895" i="34"/>
  <c r="X895" i="34"/>
  <c r="N896" i="34"/>
  <c r="P896" i="34"/>
  <c r="Q896" i="34"/>
  <c r="S896" i="34"/>
  <c r="T896" i="34"/>
  <c r="V896" i="34"/>
  <c r="W896" i="34"/>
  <c r="X896" i="34"/>
  <c r="N897" i="34"/>
  <c r="P897" i="34"/>
  <c r="Q897" i="34"/>
  <c r="S897" i="34"/>
  <c r="T897" i="34"/>
  <c r="V897" i="34"/>
  <c r="W897" i="34"/>
  <c r="X897" i="34"/>
  <c r="N898" i="34"/>
  <c r="P898" i="34"/>
  <c r="Q898" i="34"/>
  <c r="S898" i="34"/>
  <c r="T898" i="34"/>
  <c r="V898" i="34"/>
  <c r="W898" i="34"/>
  <c r="X898" i="34"/>
  <c r="N899" i="34"/>
  <c r="P899" i="34"/>
  <c r="Q899" i="34"/>
  <c r="S899" i="34"/>
  <c r="T899" i="34"/>
  <c r="V899" i="34"/>
  <c r="W899" i="34"/>
  <c r="X899" i="34"/>
  <c r="N900" i="34"/>
  <c r="P900" i="34"/>
  <c r="Q900" i="34"/>
  <c r="S900" i="34"/>
  <c r="T900" i="34"/>
  <c r="V900" i="34"/>
  <c r="W900" i="34"/>
  <c r="X900" i="34"/>
  <c r="N901" i="34"/>
  <c r="P901" i="34"/>
  <c r="Q901" i="34"/>
  <c r="S901" i="34"/>
  <c r="T901" i="34"/>
  <c r="V901" i="34"/>
  <c r="W901" i="34"/>
  <c r="X901" i="34"/>
  <c r="N902" i="34"/>
  <c r="P902" i="34"/>
  <c r="Q902" i="34"/>
  <c r="S902" i="34"/>
  <c r="T902" i="34"/>
  <c r="V902" i="34"/>
  <c r="W902" i="34"/>
  <c r="X902" i="34"/>
  <c r="N903" i="34"/>
  <c r="P903" i="34"/>
  <c r="Q903" i="34"/>
  <c r="S903" i="34"/>
  <c r="T903" i="34"/>
  <c r="V903" i="34"/>
  <c r="W903" i="34"/>
  <c r="X903" i="34"/>
  <c r="N904" i="34"/>
  <c r="P904" i="34"/>
  <c r="Q904" i="34"/>
  <c r="S904" i="34"/>
  <c r="T904" i="34"/>
  <c r="V904" i="34"/>
  <c r="W904" i="34"/>
  <c r="X904" i="34"/>
  <c r="N905" i="34"/>
  <c r="P905" i="34"/>
  <c r="Q905" i="34"/>
  <c r="S905" i="34"/>
  <c r="T905" i="34"/>
  <c r="V905" i="34"/>
  <c r="W905" i="34"/>
  <c r="X905" i="34"/>
  <c r="N906" i="34"/>
  <c r="P906" i="34"/>
  <c r="Q906" i="34"/>
  <c r="S906" i="34"/>
  <c r="T906" i="34"/>
  <c r="V906" i="34"/>
  <c r="W906" i="34"/>
  <c r="X906" i="34"/>
  <c r="N907" i="34"/>
  <c r="P907" i="34"/>
  <c r="Q907" i="34"/>
  <c r="S907" i="34"/>
  <c r="T907" i="34"/>
  <c r="V907" i="34"/>
  <c r="W907" i="34"/>
  <c r="X907" i="34"/>
  <c r="N908" i="34"/>
  <c r="P908" i="34"/>
  <c r="Q908" i="34"/>
  <c r="S908" i="34"/>
  <c r="T908" i="34"/>
  <c r="V908" i="34"/>
  <c r="W908" i="34"/>
  <c r="X908" i="34"/>
  <c r="N909" i="34"/>
  <c r="P909" i="34"/>
  <c r="Q909" i="34"/>
  <c r="S909" i="34"/>
  <c r="T909" i="34"/>
  <c r="V909" i="34"/>
  <c r="W909" i="34"/>
  <c r="X909" i="34"/>
  <c r="N910" i="34"/>
  <c r="P910" i="34"/>
  <c r="Q910" i="34"/>
  <c r="S910" i="34"/>
  <c r="T910" i="34"/>
  <c r="V910" i="34"/>
  <c r="W910" i="34"/>
  <c r="X910" i="34"/>
  <c r="N911" i="34"/>
  <c r="P911" i="34"/>
  <c r="Q911" i="34"/>
  <c r="S911" i="34"/>
  <c r="T911" i="34"/>
  <c r="V911" i="34"/>
  <c r="W911" i="34"/>
  <c r="X911" i="34"/>
  <c r="N912" i="34"/>
  <c r="P912" i="34"/>
  <c r="Q912" i="34"/>
  <c r="S912" i="34"/>
  <c r="T912" i="34"/>
  <c r="V912" i="34"/>
  <c r="W912" i="34"/>
  <c r="X912" i="34"/>
  <c r="N913" i="34"/>
  <c r="P913" i="34"/>
  <c r="Q913" i="34"/>
  <c r="S913" i="34"/>
  <c r="T913" i="34"/>
  <c r="V913" i="34"/>
  <c r="W913" i="34"/>
  <c r="X913" i="34"/>
  <c r="N914" i="34"/>
  <c r="P914" i="34"/>
  <c r="Q914" i="34"/>
  <c r="S914" i="34"/>
  <c r="T914" i="34"/>
  <c r="V914" i="34"/>
  <c r="W914" i="34"/>
  <c r="X914" i="34"/>
  <c r="N915" i="34"/>
  <c r="P915" i="34"/>
  <c r="Q915" i="34"/>
  <c r="S915" i="34"/>
  <c r="T915" i="34"/>
  <c r="V915" i="34"/>
  <c r="W915" i="34"/>
  <c r="X915" i="34"/>
  <c r="N916" i="34"/>
  <c r="P916" i="34"/>
  <c r="Q916" i="34"/>
  <c r="S916" i="34"/>
  <c r="T916" i="34"/>
  <c r="V916" i="34"/>
  <c r="W916" i="34"/>
  <c r="X916" i="34"/>
  <c r="N917" i="34"/>
  <c r="P917" i="34"/>
  <c r="Q917" i="34"/>
  <c r="S917" i="34"/>
  <c r="T917" i="34"/>
  <c r="V917" i="34"/>
  <c r="W917" i="34"/>
  <c r="X917" i="34"/>
  <c r="N918" i="34"/>
  <c r="P918" i="34"/>
  <c r="Q918" i="34"/>
  <c r="S918" i="34"/>
  <c r="T918" i="34"/>
  <c r="V918" i="34"/>
  <c r="W918" i="34"/>
  <c r="X918" i="34"/>
  <c r="N919" i="34"/>
  <c r="P919" i="34"/>
  <c r="Q919" i="34"/>
  <c r="S919" i="34"/>
  <c r="T919" i="34"/>
  <c r="V919" i="34"/>
  <c r="W919" i="34"/>
  <c r="X919" i="34"/>
  <c r="N920" i="34"/>
  <c r="P920" i="34"/>
  <c r="Q920" i="34"/>
  <c r="S920" i="34"/>
  <c r="T920" i="34"/>
  <c r="V920" i="34"/>
  <c r="W920" i="34"/>
  <c r="X920" i="34"/>
  <c r="N921" i="34"/>
  <c r="P921" i="34"/>
  <c r="Q921" i="34"/>
  <c r="S921" i="34"/>
  <c r="T921" i="34"/>
  <c r="V921" i="34"/>
  <c r="W921" i="34"/>
  <c r="X921" i="34"/>
  <c r="N922" i="34"/>
  <c r="P922" i="34"/>
  <c r="Q922" i="34"/>
  <c r="S922" i="34"/>
  <c r="T922" i="34"/>
  <c r="V922" i="34"/>
  <c r="W922" i="34"/>
  <c r="X922" i="34"/>
  <c r="N923" i="34"/>
  <c r="P923" i="34"/>
  <c r="Q923" i="34"/>
  <c r="S923" i="34"/>
  <c r="T923" i="34"/>
  <c r="V923" i="34"/>
  <c r="W923" i="34"/>
  <c r="X923" i="34"/>
  <c r="N924" i="34"/>
  <c r="P924" i="34"/>
  <c r="Q924" i="34"/>
  <c r="S924" i="34"/>
  <c r="T924" i="34"/>
  <c r="V924" i="34"/>
  <c r="W924" i="34"/>
  <c r="X924" i="34"/>
  <c r="N925" i="34"/>
  <c r="P925" i="34"/>
  <c r="Q925" i="34"/>
  <c r="S925" i="34"/>
  <c r="T925" i="34"/>
  <c r="V925" i="34"/>
  <c r="W925" i="34"/>
  <c r="X925" i="34"/>
  <c r="N926" i="34"/>
  <c r="P926" i="34"/>
  <c r="Q926" i="34"/>
  <c r="S926" i="34"/>
  <c r="T926" i="34"/>
  <c r="V926" i="34"/>
  <c r="W926" i="34"/>
  <c r="X926" i="34"/>
  <c r="N927" i="34"/>
  <c r="P927" i="34"/>
  <c r="Q927" i="34"/>
  <c r="S927" i="34"/>
  <c r="T927" i="34"/>
  <c r="V927" i="34"/>
  <c r="W927" i="34"/>
  <c r="X927" i="34"/>
  <c r="N928" i="34"/>
  <c r="P928" i="34"/>
  <c r="Q928" i="34"/>
  <c r="S928" i="34"/>
  <c r="T928" i="34"/>
  <c r="V928" i="34"/>
  <c r="W928" i="34"/>
  <c r="X928" i="34"/>
  <c r="N929" i="34"/>
  <c r="P929" i="34"/>
  <c r="Q929" i="34"/>
  <c r="S929" i="34"/>
  <c r="T929" i="34"/>
  <c r="V929" i="34"/>
  <c r="W929" i="34"/>
  <c r="X929" i="34"/>
  <c r="N930" i="34"/>
  <c r="P930" i="34"/>
  <c r="Q930" i="34"/>
  <c r="S930" i="34"/>
  <c r="T930" i="34"/>
  <c r="V930" i="34"/>
  <c r="W930" i="34"/>
  <c r="X930" i="34"/>
  <c r="N931" i="34"/>
  <c r="P931" i="34"/>
  <c r="Q931" i="34"/>
  <c r="S931" i="34"/>
  <c r="T931" i="34"/>
  <c r="V931" i="34"/>
  <c r="W931" i="34"/>
  <c r="X931" i="34"/>
  <c r="N932" i="34"/>
  <c r="P932" i="34"/>
  <c r="Q932" i="34"/>
  <c r="S932" i="34"/>
  <c r="T932" i="34"/>
  <c r="V932" i="34"/>
  <c r="W932" i="34"/>
  <c r="X932" i="34"/>
  <c r="N933" i="34"/>
  <c r="P933" i="34"/>
  <c r="Q933" i="34"/>
  <c r="S933" i="34"/>
  <c r="T933" i="34"/>
  <c r="V933" i="34"/>
  <c r="W933" i="34"/>
  <c r="X933" i="34"/>
  <c r="N934" i="34"/>
  <c r="P934" i="34"/>
  <c r="Q934" i="34"/>
  <c r="S934" i="34"/>
  <c r="T934" i="34"/>
  <c r="V934" i="34"/>
  <c r="W934" i="34"/>
  <c r="X934" i="34"/>
  <c r="N935" i="34"/>
  <c r="P935" i="34"/>
  <c r="Q935" i="34"/>
  <c r="S935" i="34"/>
  <c r="T935" i="34"/>
  <c r="V935" i="34"/>
  <c r="W935" i="34"/>
  <c r="X935" i="34"/>
  <c r="N936" i="34"/>
  <c r="P936" i="34"/>
  <c r="Q936" i="34"/>
  <c r="S936" i="34"/>
  <c r="T936" i="34"/>
  <c r="V936" i="34"/>
  <c r="W936" i="34"/>
  <c r="X936" i="34"/>
  <c r="N937" i="34"/>
  <c r="P937" i="34"/>
  <c r="Q937" i="34"/>
  <c r="S937" i="34"/>
  <c r="T937" i="34"/>
  <c r="V937" i="34"/>
  <c r="W937" i="34"/>
  <c r="X937" i="34"/>
  <c r="N938" i="34"/>
  <c r="P938" i="34"/>
  <c r="Q938" i="34"/>
  <c r="S938" i="34"/>
  <c r="T938" i="34"/>
  <c r="V938" i="34"/>
  <c r="W938" i="34"/>
  <c r="X938" i="34"/>
  <c r="N939" i="34"/>
  <c r="P939" i="34"/>
  <c r="Q939" i="34"/>
  <c r="S939" i="34"/>
  <c r="T939" i="34"/>
  <c r="V939" i="34"/>
  <c r="W939" i="34"/>
  <c r="X939" i="34"/>
  <c r="N940" i="34"/>
  <c r="P940" i="34"/>
  <c r="Q940" i="34"/>
  <c r="S940" i="34"/>
  <c r="T940" i="34"/>
  <c r="V940" i="34"/>
  <c r="W940" i="34"/>
  <c r="X940" i="34"/>
  <c r="N941" i="34"/>
  <c r="P941" i="34"/>
  <c r="Q941" i="34"/>
  <c r="S941" i="34"/>
  <c r="T941" i="34"/>
  <c r="V941" i="34"/>
  <c r="W941" i="34"/>
  <c r="X941" i="34"/>
  <c r="N942" i="34"/>
  <c r="P942" i="34"/>
  <c r="Q942" i="34"/>
  <c r="S942" i="34"/>
  <c r="T942" i="34"/>
  <c r="V942" i="34"/>
  <c r="W942" i="34"/>
  <c r="X942" i="34"/>
  <c r="N943" i="34"/>
  <c r="P943" i="34"/>
  <c r="Q943" i="34"/>
  <c r="S943" i="34"/>
  <c r="T943" i="34"/>
  <c r="V943" i="34"/>
  <c r="W943" i="34"/>
  <c r="X943" i="34"/>
  <c r="N944" i="34"/>
  <c r="P944" i="34"/>
  <c r="Q944" i="34"/>
  <c r="S944" i="34"/>
  <c r="T944" i="34"/>
  <c r="V944" i="34"/>
  <c r="W944" i="34"/>
  <c r="X944" i="34"/>
  <c r="N945" i="34"/>
  <c r="P945" i="34"/>
  <c r="Q945" i="34"/>
  <c r="S945" i="34"/>
  <c r="T945" i="34"/>
  <c r="V945" i="34"/>
  <c r="W945" i="34"/>
  <c r="X945" i="34"/>
  <c r="N946" i="34"/>
  <c r="P946" i="34"/>
  <c r="Q946" i="34"/>
  <c r="S946" i="34"/>
  <c r="T946" i="34"/>
  <c r="V946" i="34"/>
  <c r="W946" i="34"/>
  <c r="X946" i="34"/>
  <c r="N947" i="34"/>
  <c r="P947" i="34"/>
  <c r="Q947" i="34"/>
  <c r="S947" i="34"/>
  <c r="T947" i="34"/>
  <c r="V947" i="34"/>
  <c r="W947" i="34"/>
  <c r="X947" i="34"/>
  <c r="N948" i="34"/>
  <c r="P948" i="34"/>
  <c r="Q948" i="34"/>
  <c r="S948" i="34"/>
  <c r="T948" i="34"/>
  <c r="V948" i="34"/>
  <c r="W948" i="34"/>
  <c r="X948" i="34"/>
  <c r="N949" i="34"/>
  <c r="P949" i="34"/>
  <c r="Q949" i="34"/>
  <c r="S949" i="34"/>
  <c r="T949" i="34"/>
  <c r="V949" i="34"/>
  <c r="W949" i="34"/>
  <c r="X949" i="34"/>
  <c r="N950" i="34"/>
  <c r="P950" i="34"/>
  <c r="Q950" i="34"/>
  <c r="S950" i="34"/>
  <c r="T950" i="34"/>
  <c r="V950" i="34"/>
  <c r="W950" i="34"/>
  <c r="X950" i="34"/>
  <c r="N951" i="34"/>
  <c r="P951" i="34"/>
  <c r="Q951" i="34"/>
  <c r="S951" i="34"/>
  <c r="T951" i="34"/>
  <c r="V951" i="34"/>
  <c r="W951" i="34"/>
  <c r="X951" i="34"/>
  <c r="N952" i="34"/>
  <c r="P952" i="34"/>
  <c r="Q952" i="34"/>
  <c r="S952" i="34"/>
  <c r="T952" i="34"/>
  <c r="V952" i="34"/>
  <c r="W952" i="34"/>
  <c r="X952" i="34"/>
  <c r="N953" i="34"/>
  <c r="P953" i="34"/>
  <c r="Q953" i="34"/>
  <c r="S953" i="34"/>
  <c r="T953" i="34"/>
  <c r="V953" i="34"/>
  <c r="W953" i="34"/>
  <c r="X953" i="34"/>
  <c r="N954" i="34"/>
  <c r="P954" i="34"/>
  <c r="Q954" i="34"/>
  <c r="S954" i="34"/>
  <c r="T954" i="34"/>
  <c r="V954" i="34"/>
  <c r="W954" i="34"/>
  <c r="X954" i="34"/>
  <c r="N955" i="34"/>
  <c r="P955" i="34"/>
  <c r="Q955" i="34"/>
  <c r="S955" i="34"/>
  <c r="T955" i="34"/>
  <c r="V955" i="34"/>
  <c r="W955" i="34"/>
  <c r="X955" i="34"/>
  <c r="N956" i="34"/>
  <c r="P956" i="34"/>
  <c r="Q956" i="34"/>
  <c r="S956" i="34"/>
  <c r="T956" i="34"/>
  <c r="V956" i="34"/>
  <c r="W956" i="34"/>
  <c r="X956" i="34"/>
  <c r="N957" i="34"/>
  <c r="P957" i="34"/>
  <c r="Q957" i="34"/>
  <c r="S957" i="34"/>
  <c r="T957" i="34"/>
  <c r="V957" i="34"/>
  <c r="W957" i="34"/>
  <c r="X957" i="34"/>
  <c r="N958" i="34"/>
  <c r="P958" i="34"/>
  <c r="Q958" i="34"/>
  <c r="S958" i="34"/>
  <c r="T958" i="34"/>
  <c r="V958" i="34"/>
  <c r="W958" i="34"/>
  <c r="X958" i="34"/>
  <c r="N959" i="34"/>
  <c r="P959" i="34"/>
  <c r="Q959" i="34"/>
  <c r="S959" i="34"/>
  <c r="T959" i="34"/>
  <c r="V959" i="34"/>
  <c r="W959" i="34"/>
  <c r="X959" i="34"/>
  <c r="N960" i="34"/>
  <c r="P960" i="34"/>
  <c r="Q960" i="34"/>
  <c r="S960" i="34"/>
  <c r="T960" i="34"/>
  <c r="V960" i="34"/>
  <c r="W960" i="34"/>
  <c r="X960" i="34"/>
  <c r="N961" i="34"/>
  <c r="P961" i="34"/>
  <c r="Q961" i="34"/>
  <c r="S961" i="34"/>
  <c r="T961" i="34"/>
  <c r="V961" i="34"/>
  <c r="W961" i="34"/>
  <c r="X961" i="34"/>
  <c r="N962" i="34"/>
  <c r="P962" i="34"/>
  <c r="Q962" i="34"/>
  <c r="S962" i="34"/>
  <c r="T962" i="34"/>
  <c r="V962" i="34"/>
  <c r="W962" i="34"/>
  <c r="X962" i="34"/>
  <c r="N963" i="34"/>
  <c r="P963" i="34"/>
  <c r="Q963" i="34"/>
  <c r="S963" i="34"/>
  <c r="T963" i="34"/>
  <c r="V963" i="34"/>
  <c r="W963" i="34"/>
  <c r="X963" i="34"/>
  <c r="N964" i="34"/>
  <c r="P964" i="34"/>
  <c r="Q964" i="34"/>
  <c r="S964" i="34"/>
  <c r="T964" i="34"/>
  <c r="V964" i="34"/>
  <c r="W964" i="34"/>
  <c r="X964" i="34"/>
  <c r="N965" i="34"/>
  <c r="P965" i="34"/>
  <c r="Q965" i="34"/>
  <c r="S965" i="34"/>
  <c r="T965" i="34"/>
  <c r="V965" i="34"/>
  <c r="W965" i="34"/>
  <c r="X965" i="34"/>
  <c r="N966" i="34"/>
  <c r="P966" i="34"/>
  <c r="Q966" i="34"/>
  <c r="S966" i="34"/>
  <c r="T966" i="34"/>
  <c r="V966" i="34"/>
  <c r="W966" i="34"/>
  <c r="X966" i="34"/>
  <c r="N967" i="34"/>
  <c r="P967" i="34"/>
  <c r="Q967" i="34"/>
  <c r="S967" i="34"/>
  <c r="T967" i="34"/>
  <c r="V967" i="34"/>
  <c r="W967" i="34"/>
  <c r="X967" i="34"/>
  <c r="N968" i="34"/>
  <c r="P968" i="34"/>
  <c r="Q968" i="34"/>
  <c r="S968" i="34"/>
  <c r="T968" i="34"/>
  <c r="V968" i="34"/>
  <c r="W968" i="34"/>
  <c r="X968" i="34"/>
  <c r="N969" i="34"/>
  <c r="P969" i="34"/>
  <c r="Q969" i="34"/>
  <c r="S969" i="34"/>
  <c r="T969" i="34"/>
  <c r="V969" i="34"/>
  <c r="W969" i="34"/>
  <c r="X969" i="34"/>
  <c r="N970" i="34"/>
  <c r="P970" i="34"/>
  <c r="Q970" i="34"/>
  <c r="S970" i="34"/>
  <c r="T970" i="34"/>
  <c r="V970" i="34"/>
  <c r="W970" i="34"/>
  <c r="X970" i="34"/>
  <c r="N971" i="34"/>
  <c r="P971" i="34"/>
  <c r="Q971" i="34"/>
  <c r="S971" i="34"/>
  <c r="T971" i="34"/>
  <c r="V971" i="34"/>
  <c r="W971" i="34"/>
  <c r="X971" i="34"/>
  <c r="N972" i="34"/>
  <c r="P972" i="34"/>
  <c r="Q972" i="34"/>
  <c r="S972" i="34"/>
  <c r="T972" i="34"/>
  <c r="V972" i="34"/>
  <c r="W972" i="34"/>
  <c r="X972" i="34"/>
  <c r="N973" i="34"/>
  <c r="P973" i="34"/>
  <c r="Q973" i="34"/>
  <c r="S973" i="34"/>
  <c r="T973" i="34"/>
  <c r="V973" i="34"/>
  <c r="W973" i="34"/>
  <c r="X973" i="34"/>
  <c r="N974" i="34"/>
  <c r="P974" i="34"/>
  <c r="Q974" i="34"/>
  <c r="S974" i="34"/>
  <c r="T974" i="34"/>
  <c r="V974" i="34"/>
  <c r="W974" i="34"/>
  <c r="X974" i="34"/>
  <c r="N975" i="34"/>
  <c r="P975" i="34"/>
  <c r="Q975" i="34"/>
  <c r="S975" i="34"/>
  <c r="T975" i="34"/>
  <c r="V975" i="34"/>
  <c r="W975" i="34"/>
  <c r="X975" i="34"/>
  <c r="N976" i="34"/>
  <c r="P976" i="34"/>
  <c r="Q976" i="34"/>
  <c r="S976" i="34"/>
  <c r="T976" i="34"/>
  <c r="V976" i="34"/>
  <c r="W976" i="34"/>
  <c r="X976" i="34"/>
  <c r="N977" i="34"/>
  <c r="P977" i="34"/>
  <c r="Q977" i="34"/>
  <c r="S977" i="34"/>
  <c r="T977" i="34"/>
  <c r="V977" i="34"/>
  <c r="W977" i="34"/>
  <c r="X977" i="34"/>
  <c r="N978" i="34"/>
  <c r="P978" i="34"/>
  <c r="Q978" i="34"/>
  <c r="S978" i="34"/>
  <c r="T978" i="34"/>
  <c r="V978" i="34"/>
  <c r="W978" i="34"/>
  <c r="X978" i="34"/>
  <c r="N979" i="34"/>
  <c r="P979" i="34"/>
  <c r="Q979" i="34"/>
  <c r="S979" i="34"/>
  <c r="T979" i="34"/>
  <c r="V979" i="34"/>
  <c r="W979" i="34"/>
  <c r="X979" i="34"/>
  <c r="N980" i="34"/>
  <c r="P980" i="34"/>
  <c r="Q980" i="34"/>
  <c r="S980" i="34"/>
  <c r="T980" i="34"/>
  <c r="V980" i="34"/>
  <c r="W980" i="34"/>
  <c r="X980" i="34"/>
  <c r="N981" i="34"/>
  <c r="P981" i="34"/>
  <c r="Q981" i="34"/>
  <c r="S981" i="34"/>
  <c r="T981" i="34"/>
  <c r="V981" i="34"/>
  <c r="W981" i="34"/>
  <c r="X981" i="34"/>
  <c r="N982" i="34"/>
  <c r="P982" i="34"/>
  <c r="Q982" i="34"/>
  <c r="S982" i="34"/>
  <c r="T982" i="34"/>
  <c r="V982" i="34"/>
  <c r="W982" i="34"/>
  <c r="X982" i="34"/>
  <c r="N983" i="34"/>
  <c r="P983" i="34"/>
  <c r="Q983" i="34"/>
  <c r="S983" i="34"/>
  <c r="T983" i="34"/>
  <c r="V983" i="34"/>
  <c r="W983" i="34"/>
  <c r="X983" i="34"/>
  <c r="N984" i="34"/>
  <c r="P984" i="34"/>
  <c r="Q984" i="34"/>
  <c r="S984" i="34"/>
  <c r="T984" i="34"/>
  <c r="V984" i="34"/>
  <c r="W984" i="34"/>
  <c r="X984" i="34"/>
  <c r="N985" i="34"/>
  <c r="P985" i="34"/>
  <c r="Q985" i="34"/>
  <c r="S985" i="34"/>
  <c r="T985" i="34"/>
  <c r="V985" i="34"/>
  <c r="W985" i="34"/>
  <c r="X985" i="34"/>
  <c r="N986" i="34"/>
  <c r="P986" i="34"/>
  <c r="Q986" i="34"/>
  <c r="S986" i="34"/>
  <c r="T986" i="34"/>
  <c r="V986" i="34"/>
  <c r="W986" i="34"/>
  <c r="X986" i="34"/>
  <c r="N987" i="34"/>
  <c r="P987" i="34"/>
  <c r="Q987" i="34"/>
  <c r="S987" i="34"/>
  <c r="T987" i="34"/>
  <c r="V987" i="34"/>
  <c r="W987" i="34"/>
  <c r="X987" i="34"/>
  <c r="N988" i="34"/>
  <c r="P988" i="34"/>
  <c r="Q988" i="34"/>
  <c r="S988" i="34"/>
  <c r="T988" i="34"/>
  <c r="V988" i="34"/>
  <c r="W988" i="34"/>
  <c r="X988" i="34"/>
  <c r="N989" i="34"/>
  <c r="P989" i="34"/>
  <c r="Q989" i="34"/>
  <c r="S989" i="34"/>
  <c r="T989" i="34"/>
  <c r="V989" i="34"/>
  <c r="W989" i="34"/>
  <c r="X989" i="34"/>
  <c r="N990" i="34"/>
  <c r="P990" i="34"/>
  <c r="Q990" i="34"/>
  <c r="S990" i="34"/>
  <c r="T990" i="34"/>
  <c r="V990" i="34"/>
  <c r="W990" i="34"/>
  <c r="X990" i="34"/>
  <c r="N991" i="34"/>
  <c r="P991" i="34"/>
  <c r="Q991" i="34"/>
  <c r="S991" i="34"/>
  <c r="T991" i="34"/>
  <c r="V991" i="34"/>
  <c r="W991" i="34"/>
  <c r="X991" i="34"/>
  <c r="N992" i="34"/>
  <c r="P992" i="34"/>
  <c r="Q992" i="34"/>
  <c r="S992" i="34"/>
  <c r="T992" i="34"/>
  <c r="V992" i="34"/>
  <c r="W992" i="34"/>
  <c r="X992" i="34"/>
  <c r="N993" i="34"/>
  <c r="P993" i="34"/>
  <c r="Q993" i="34"/>
  <c r="S993" i="34"/>
  <c r="T993" i="34"/>
  <c r="V993" i="34"/>
  <c r="W993" i="34"/>
  <c r="X993" i="34"/>
  <c r="N994" i="34"/>
  <c r="P994" i="34"/>
  <c r="Q994" i="34"/>
  <c r="S994" i="34"/>
  <c r="T994" i="34"/>
  <c r="V994" i="34"/>
  <c r="W994" i="34"/>
  <c r="X994" i="34"/>
  <c r="N995" i="34"/>
  <c r="P995" i="34"/>
  <c r="Q995" i="34"/>
  <c r="S995" i="34"/>
  <c r="T995" i="34"/>
  <c r="V995" i="34"/>
  <c r="W995" i="34"/>
  <c r="X995" i="34"/>
  <c r="N996" i="34"/>
  <c r="P996" i="34"/>
  <c r="Q996" i="34"/>
  <c r="S996" i="34"/>
  <c r="T996" i="34"/>
  <c r="V996" i="34"/>
  <c r="W996" i="34"/>
  <c r="X996" i="34"/>
  <c r="N997" i="34"/>
  <c r="P997" i="34"/>
  <c r="Q997" i="34"/>
  <c r="S997" i="34"/>
  <c r="T997" i="34"/>
  <c r="V997" i="34"/>
  <c r="W997" i="34"/>
  <c r="X997" i="34"/>
  <c r="N998" i="34"/>
  <c r="P998" i="34"/>
  <c r="Q998" i="34"/>
  <c r="S998" i="34"/>
  <c r="T998" i="34"/>
  <c r="V998" i="34"/>
  <c r="W998" i="34"/>
  <c r="X998" i="34"/>
  <c r="N999" i="34"/>
  <c r="P999" i="34"/>
  <c r="Q999" i="34"/>
  <c r="S999" i="34"/>
  <c r="T999" i="34"/>
  <c r="V999" i="34"/>
  <c r="W999" i="34"/>
  <c r="X999" i="34"/>
  <c r="N1000" i="34"/>
  <c r="P1000" i="34"/>
  <c r="Q1000" i="34"/>
  <c r="S1000" i="34"/>
  <c r="T1000" i="34"/>
  <c r="V1000" i="34"/>
  <c r="W1000" i="34"/>
  <c r="X1000" i="34"/>
  <c r="N1001" i="34"/>
  <c r="P1001" i="34"/>
  <c r="Q1001" i="34"/>
  <c r="S1001" i="34"/>
  <c r="T1001" i="34"/>
  <c r="V1001" i="34"/>
  <c r="W1001" i="34"/>
  <c r="X1001" i="34"/>
  <c r="N1002" i="34"/>
  <c r="P1002" i="34"/>
  <c r="Q1002" i="34"/>
  <c r="S1002" i="34"/>
  <c r="T1002" i="34"/>
  <c r="V1002" i="34"/>
  <c r="W1002" i="34"/>
  <c r="X1002" i="34"/>
  <c r="N1003" i="34"/>
  <c r="P1003" i="34"/>
  <c r="Q1003" i="34"/>
  <c r="S1003" i="34"/>
  <c r="T1003" i="34"/>
  <c r="V1003" i="34"/>
  <c r="W1003" i="34"/>
  <c r="X1003" i="34"/>
  <c r="N1004" i="34"/>
  <c r="P1004" i="34"/>
  <c r="Q1004" i="34"/>
  <c r="S1004" i="34"/>
  <c r="T1004" i="34"/>
  <c r="V1004" i="34"/>
  <c r="W1004" i="34"/>
  <c r="X1004" i="34"/>
  <c r="N1005" i="34"/>
  <c r="P1005" i="34"/>
  <c r="Q1005" i="34"/>
  <c r="S1005" i="34"/>
  <c r="T1005" i="34"/>
  <c r="V1005" i="34"/>
  <c r="W1005" i="34"/>
  <c r="X1005" i="34"/>
  <c r="N1006" i="34"/>
  <c r="P1006" i="34"/>
  <c r="Q1006" i="34"/>
  <c r="S1006" i="34"/>
  <c r="T1006" i="34"/>
  <c r="V1006" i="34"/>
  <c r="W1006" i="34"/>
  <c r="X1006" i="34"/>
  <c r="N1007" i="34"/>
  <c r="P1007" i="34"/>
  <c r="Q1007" i="34"/>
  <c r="S1007" i="34"/>
  <c r="T1007" i="34"/>
  <c r="V1007" i="34"/>
  <c r="W1007" i="34"/>
  <c r="X1007" i="34"/>
  <c r="N1008" i="34"/>
  <c r="P1008" i="34"/>
  <c r="Q1008" i="34"/>
  <c r="S1008" i="34"/>
  <c r="T1008" i="34"/>
  <c r="V1008" i="34"/>
  <c r="W1008" i="34"/>
  <c r="X1008" i="34"/>
  <c r="N1009" i="34"/>
  <c r="P1009" i="34"/>
  <c r="Q1009" i="34"/>
  <c r="S1009" i="34"/>
  <c r="T1009" i="34"/>
  <c r="V1009" i="34"/>
  <c r="W1009" i="34"/>
  <c r="X1009" i="34"/>
  <c r="N1010" i="34"/>
  <c r="P1010" i="34"/>
  <c r="Q1010" i="34"/>
  <c r="S1010" i="34"/>
  <c r="T1010" i="34"/>
  <c r="V1010" i="34"/>
  <c r="W1010" i="34"/>
  <c r="X1010" i="34"/>
  <c r="N1011" i="34"/>
  <c r="P1011" i="34"/>
  <c r="Q1011" i="34"/>
  <c r="S1011" i="34"/>
  <c r="T1011" i="34"/>
  <c r="V1011" i="34"/>
  <c r="W1011" i="34"/>
  <c r="X1011" i="34"/>
  <c r="N1012" i="34"/>
  <c r="P1012" i="34"/>
  <c r="Q1012" i="34"/>
  <c r="S1012" i="34"/>
  <c r="T1012" i="34"/>
  <c r="V1012" i="34"/>
  <c r="W1012" i="34"/>
  <c r="X1012" i="34"/>
  <c r="N1013" i="34"/>
  <c r="P1013" i="34"/>
  <c r="Q1013" i="34"/>
  <c r="S1013" i="34"/>
  <c r="T1013" i="34"/>
  <c r="V1013" i="34"/>
  <c r="W1013" i="34"/>
  <c r="X1013" i="34"/>
  <c r="N1014" i="34"/>
  <c r="P1014" i="34"/>
  <c r="Q1014" i="34"/>
  <c r="S1014" i="34"/>
  <c r="T1014" i="34"/>
  <c r="V1014" i="34"/>
  <c r="W1014" i="34"/>
  <c r="X1014" i="34"/>
  <c r="N1015" i="34"/>
  <c r="P1015" i="34"/>
  <c r="Q1015" i="34"/>
  <c r="S1015" i="34"/>
  <c r="T1015" i="34"/>
  <c r="V1015" i="34"/>
  <c r="W1015" i="34"/>
  <c r="X1015" i="34"/>
  <c r="N1016" i="34"/>
  <c r="P1016" i="34"/>
  <c r="Q1016" i="34"/>
  <c r="S1016" i="34"/>
  <c r="T1016" i="34"/>
  <c r="V1016" i="34"/>
  <c r="W1016" i="34"/>
  <c r="X1016" i="34"/>
  <c r="N1017" i="34"/>
  <c r="P1017" i="34"/>
  <c r="Q1017" i="34"/>
  <c r="S1017" i="34"/>
  <c r="T1017" i="34"/>
  <c r="V1017" i="34"/>
  <c r="W1017" i="34"/>
  <c r="X1017" i="34"/>
  <c r="N1018" i="34"/>
  <c r="P1018" i="34"/>
  <c r="Q1018" i="34"/>
  <c r="S1018" i="34"/>
  <c r="T1018" i="34"/>
  <c r="V1018" i="34"/>
  <c r="W1018" i="34"/>
  <c r="X1018" i="34"/>
  <c r="N1019" i="34"/>
  <c r="P1019" i="34"/>
  <c r="Q1019" i="34"/>
  <c r="S1019" i="34"/>
  <c r="T1019" i="34"/>
  <c r="V1019" i="34"/>
  <c r="W1019" i="34"/>
  <c r="X1019" i="34"/>
  <c r="N1020" i="34"/>
  <c r="P1020" i="34"/>
  <c r="Q1020" i="34"/>
  <c r="S1020" i="34"/>
  <c r="T1020" i="34"/>
  <c r="V1020" i="34"/>
  <c r="W1020" i="34"/>
  <c r="X1020" i="34"/>
  <c r="N1021" i="34"/>
  <c r="P1021" i="34"/>
  <c r="Q1021" i="34"/>
  <c r="S1021" i="34"/>
  <c r="T1021" i="34"/>
  <c r="V1021" i="34"/>
  <c r="W1021" i="34"/>
  <c r="X1021" i="34"/>
  <c r="N1022" i="34"/>
  <c r="P1022" i="34"/>
  <c r="Q1022" i="34"/>
  <c r="S1022" i="34"/>
  <c r="T1022" i="34"/>
  <c r="V1022" i="34"/>
  <c r="W1022" i="34"/>
  <c r="X1022" i="34"/>
  <c r="N1023" i="34"/>
  <c r="P1023" i="34"/>
  <c r="Q1023" i="34"/>
  <c r="S1023" i="34"/>
  <c r="T1023" i="34"/>
  <c r="V1023" i="34"/>
  <c r="W1023" i="34"/>
  <c r="X1023" i="34"/>
  <c r="N1024" i="34"/>
  <c r="P1024" i="34"/>
  <c r="Q1024" i="34"/>
  <c r="S1024" i="34"/>
  <c r="T1024" i="34"/>
  <c r="V1024" i="34"/>
  <c r="W1024" i="34"/>
  <c r="X1024" i="34"/>
  <c r="N1025" i="34"/>
  <c r="P1025" i="34"/>
  <c r="Q1025" i="34"/>
  <c r="S1025" i="34"/>
  <c r="T1025" i="34"/>
  <c r="V1025" i="34"/>
  <c r="W1025" i="34"/>
  <c r="X1025" i="34"/>
  <c r="N1026" i="34"/>
  <c r="P1026" i="34"/>
  <c r="Q1026" i="34"/>
  <c r="S1026" i="34"/>
  <c r="T1026" i="34"/>
  <c r="V1026" i="34"/>
  <c r="W1026" i="34"/>
  <c r="X1026" i="34"/>
  <c r="N1027" i="34"/>
  <c r="P1027" i="34"/>
  <c r="Q1027" i="34"/>
  <c r="S1027" i="34"/>
  <c r="T1027" i="34"/>
  <c r="V1027" i="34"/>
  <c r="W1027" i="34"/>
  <c r="X1027" i="34"/>
  <c r="N1028" i="34"/>
  <c r="P1028" i="34"/>
  <c r="Q1028" i="34"/>
  <c r="S1028" i="34"/>
  <c r="T1028" i="34"/>
  <c r="V1028" i="34"/>
  <c r="W1028" i="34"/>
  <c r="X1028" i="34"/>
  <c r="N1029" i="34"/>
  <c r="P1029" i="34"/>
  <c r="Q1029" i="34"/>
  <c r="S1029" i="34"/>
  <c r="T1029" i="34"/>
  <c r="V1029" i="34"/>
  <c r="W1029" i="34"/>
  <c r="X1029" i="34"/>
  <c r="N1030" i="34"/>
  <c r="P1030" i="34"/>
  <c r="Q1030" i="34"/>
  <c r="S1030" i="34"/>
  <c r="T1030" i="34"/>
  <c r="V1030" i="34"/>
  <c r="W1030" i="34"/>
  <c r="X1030" i="34"/>
  <c r="N1031" i="34"/>
  <c r="P1031" i="34"/>
  <c r="Q1031" i="34"/>
  <c r="S1031" i="34"/>
  <c r="T1031" i="34"/>
  <c r="V1031" i="34"/>
  <c r="W1031" i="34"/>
  <c r="X1031" i="34"/>
  <c r="N1032" i="34"/>
  <c r="P1032" i="34"/>
  <c r="Q1032" i="34"/>
  <c r="S1032" i="34"/>
  <c r="T1032" i="34"/>
  <c r="V1032" i="34"/>
  <c r="W1032" i="34"/>
  <c r="X1032" i="34"/>
  <c r="N1033" i="34"/>
  <c r="P1033" i="34"/>
  <c r="Q1033" i="34"/>
  <c r="S1033" i="34"/>
  <c r="T1033" i="34"/>
  <c r="V1033" i="34"/>
  <c r="W1033" i="34"/>
  <c r="X1033" i="34"/>
  <c r="N1034" i="34"/>
  <c r="P1034" i="34"/>
  <c r="Q1034" i="34"/>
  <c r="S1034" i="34"/>
  <c r="T1034" i="34"/>
  <c r="V1034" i="34"/>
  <c r="W1034" i="34"/>
  <c r="X1034" i="34"/>
  <c r="N1035" i="34"/>
  <c r="P1035" i="34"/>
  <c r="Q1035" i="34"/>
  <c r="S1035" i="34"/>
  <c r="T1035" i="34"/>
  <c r="V1035" i="34"/>
  <c r="W1035" i="34"/>
  <c r="X1035" i="34"/>
  <c r="N1036" i="34"/>
  <c r="P1036" i="34"/>
  <c r="Q1036" i="34"/>
  <c r="S1036" i="34"/>
  <c r="T1036" i="34"/>
  <c r="V1036" i="34"/>
  <c r="W1036" i="34"/>
  <c r="X1036" i="34"/>
  <c r="N1037" i="34"/>
  <c r="P1037" i="34"/>
  <c r="Q1037" i="34"/>
  <c r="S1037" i="34"/>
  <c r="T1037" i="34"/>
  <c r="V1037" i="34"/>
  <c r="W1037" i="34"/>
  <c r="X1037" i="34"/>
  <c r="N1038" i="34"/>
  <c r="P1038" i="34"/>
  <c r="Q1038" i="34"/>
  <c r="S1038" i="34"/>
  <c r="T1038" i="34"/>
  <c r="V1038" i="34"/>
  <c r="W1038" i="34"/>
  <c r="X1038" i="34"/>
  <c r="N1039" i="34"/>
  <c r="P1039" i="34"/>
  <c r="Q1039" i="34"/>
  <c r="S1039" i="34"/>
  <c r="T1039" i="34"/>
  <c r="V1039" i="34"/>
  <c r="W1039" i="34"/>
  <c r="X1039" i="34"/>
  <c r="N1040" i="34"/>
  <c r="P1040" i="34"/>
  <c r="Q1040" i="34"/>
  <c r="S1040" i="34"/>
  <c r="T1040" i="34"/>
  <c r="V1040" i="34"/>
  <c r="W1040" i="34"/>
  <c r="X1040" i="34"/>
  <c r="N1041" i="34"/>
  <c r="P1041" i="34"/>
  <c r="Q1041" i="34"/>
  <c r="S1041" i="34"/>
  <c r="T1041" i="34"/>
  <c r="V1041" i="34"/>
  <c r="W1041" i="34"/>
  <c r="X1041" i="34"/>
  <c r="N1042" i="34"/>
  <c r="P1042" i="34"/>
  <c r="Q1042" i="34"/>
  <c r="S1042" i="34"/>
  <c r="T1042" i="34"/>
  <c r="V1042" i="34"/>
  <c r="W1042" i="34"/>
  <c r="X1042" i="34"/>
  <c r="N1043" i="34"/>
  <c r="P1043" i="34"/>
  <c r="Q1043" i="34"/>
  <c r="S1043" i="34"/>
  <c r="T1043" i="34"/>
  <c r="V1043" i="34"/>
  <c r="W1043" i="34"/>
  <c r="X1043" i="34"/>
  <c r="N1044" i="34"/>
  <c r="P1044" i="34"/>
  <c r="Q1044" i="34"/>
  <c r="S1044" i="34"/>
  <c r="T1044" i="34"/>
  <c r="V1044" i="34"/>
  <c r="W1044" i="34"/>
  <c r="X1044" i="34"/>
  <c r="N1045" i="34"/>
  <c r="P1045" i="34"/>
  <c r="Q1045" i="34"/>
  <c r="S1045" i="34"/>
  <c r="T1045" i="34"/>
  <c r="V1045" i="34"/>
  <c r="W1045" i="34"/>
  <c r="X1045" i="34"/>
  <c r="N1046" i="34"/>
  <c r="P1046" i="34"/>
  <c r="Q1046" i="34"/>
  <c r="S1046" i="34"/>
  <c r="T1046" i="34"/>
  <c r="V1046" i="34"/>
  <c r="W1046" i="34"/>
  <c r="X1046" i="34"/>
  <c r="N1047" i="34"/>
  <c r="P1047" i="34"/>
  <c r="Q1047" i="34"/>
  <c r="S1047" i="34"/>
  <c r="T1047" i="34"/>
  <c r="V1047" i="34"/>
  <c r="W1047" i="34"/>
  <c r="X1047" i="34"/>
  <c r="N1048" i="34"/>
  <c r="P1048" i="34"/>
  <c r="Q1048" i="34"/>
  <c r="S1048" i="34"/>
  <c r="T1048" i="34"/>
  <c r="V1048" i="34"/>
  <c r="W1048" i="34"/>
  <c r="X1048" i="34"/>
  <c r="N1049" i="34"/>
  <c r="P1049" i="34"/>
  <c r="Q1049" i="34"/>
  <c r="S1049" i="34"/>
  <c r="T1049" i="34"/>
  <c r="V1049" i="34"/>
  <c r="W1049" i="34"/>
  <c r="X1049" i="34"/>
  <c r="N1050" i="34"/>
  <c r="P1050" i="34"/>
  <c r="Q1050" i="34"/>
  <c r="S1050" i="34"/>
  <c r="T1050" i="34"/>
  <c r="V1050" i="34"/>
  <c r="W1050" i="34"/>
  <c r="X1050" i="34"/>
  <c r="N1051" i="34"/>
  <c r="P1051" i="34"/>
  <c r="Q1051" i="34"/>
  <c r="S1051" i="34"/>
  <c r="T1051" i="34"/>
  <c r="V1051" i="34"/>
  <c r="W1051" i="34"/>
  <c r="X1051" i="34"/>
  <c r="N1052" i="34"/>
  <c r="P1052" i="34"/>
  <c r="Q1052" i="34"/>
  <c r="S1052" i="34"/>
  <c r="T1052" i="34"/>
  <c r="V1052" i="34"/>
  <c r="W1052" i="34"/>
  <c r="X1052" i="34"/>
  <c r="N1053" i="34"/>
  <c r="P1053" i="34"/>
  <c r="Q1053" i="34"/>
  <c r="S1053" i="34"/>
  <c r="T1053" i="34"/>
  <c r="V1053" i="34"/>
  <c r="W1053" i="34"/>
  <c r="X1053" i="34"/>
  <c r="N1054" i="34"/>
  <c r="P1054" i="34"/>
  <c r="Q1054" i="34"/>
  <c r="S1054" i="34"/>
  <c r="T1054" i="34"/>
  <c r="V1054" i="34"/>
  <c r="W1054" i="34"/>
  <c r="X1054" i="34"/>
  <c r="N1055" i="34"/>
  <c r="P1055" i="34"/>
  <c r="Q1055" i="34"/>
  <c r="S1055" i="34"/>
  <c r="T1055" i="34"/>
  <c r="V1055" i="34"/>
  <c r="W1055" i="34"/>
  <c r="X1055" i="34"/>
  <c r="N1056" i="34"/>
  <c r="P1056" i="34"/>
  <c r="Q1056" i="34"/>
  <c r="S1056" i="34"/>
  <c r="T1056" i="34"/>
  <c r="V1056" i="34"/>
  <c r="W1056" i="34"/>
  <c r="X1056" i="34"/>
  <c r="N1057" i="34"/>
  <c r="P1057" i="34"/>
  <c r="Q1057" i="34"/>
  <c r="S1057" i="34"/>
  <c r="T1057" i="34"/>
  <c r="V1057" i="34"/>
  <c r="W1057" i="34"/>
  <c r="X1057" i="34"/>
  <c r="N1058" i="34"/>
  <c r="P1058" i="34"/>
  <c r="Q1058" i="34"/>
  <c r="S1058" i="34"/>
  <c r="T1058" i="34"/>
  <c r="V1058" i="34"/>
  <c r="W1058" i="34"/>
  <c r="X1058" i="34"/>
  <c r="N1059" i="34"/>
  <c r="P1059" i="34"/>
  <c r="Q1059" i="34"/>
  <c r="S1059" i="34"/>
  <c r="T1059" i="34"/>
  <c r="V1059" i="34"/>
  <c r="W1059" i="34"/>
  <c r="X1059" i="34"/>
  <c r="N1060" i="34"/>
  <c r="P1060" i="34"/>
  <c r="Q1060" i="34"/>
  <c r="S1060" i="34"/>
  <c r="T1060" i="34"/>
  <c r="V1060" i="34"/>
  <c r="W1060" i="34"/>
  <c r="X1060" i="34"/>
  <c r="N1061" i="34"/>
  <c r="P1061" i="34"/>
  <c r="Q1061" i="34"/>
  <c r="S1061" i="34"/>
  <c r="T1061" i="34"/>
  <c r="V1061" i="34"/>
  <c r="W1061" i="34"/>
  <c r="X1061" i="34"/>
  <c r="N1062" i="34"/>
  <c r="P1062" i="34"/>
  <c r="Q1062" i="34"/>
  <c r="S1062" i="34"/>
  <c r="T1062" i="34"/>
  <c r="V1062" i="34"/>
  <c r="W1062" i="34"/>
  <c r="X1062" i="34"/>
  <c r="N1063" i="34"/>
  <c r="P1063" i="34"/>
  <c r="Q1063" i="34"/>
  <c r="S1063" i="34"/>
  <c r="T1063" i="34"/>
  <c r="V1063" i="34"/>
  <c r="W1063" i="34"/>
  <c r="X1063" i="34"/>
  <c r="N1064" i="34"/>
  <c r="P1064" i="34"/>
  <c r="Q1064" i="34"/>
  <c r="S1064" i="34"/>
  <c r="T1064" i="34"/>
  <c r="V1064" i="34"/>
  <c r="W1064" i="34"/>
  <c r="X1064" i="34"/>
  <c r="N1065" i="34"/>
  <c r="P1065" i="34"/>
  <c r="Q1065" i="34"/>
  <c r="S1065" i="34"/>
  <c r="T1065" i="34"/>
  <c r="V1065" i="34"/>
  <c r="W1065" i="34"/>
  <c r="X1065" i="34"/>
  <c r="N1066" i="34"/>
  <c r="P1066" i="34"/>
  <c r="Q1066" i="34"/>
  <c r="S1066" i="34"/>
  <c r="T1066" i="34"/>
  <c r="V1066" i="34"/>
  <c r="W1066" i="34"/>
  <c r="X1066" i="34"/>
  <c r="N1067" i="34"/>
  <c r="P1067" i="34"/>
  <c r="Q1067" i="34"/>
  <c r="S1067" i="34"/>
  <c r="T1067" i="34"/>
  <c r="V1067" i="34"/>
  <c r="W1067" i="34"/>
  <c r="X1067" i="34"/>
  <c r="N1068" i="34"/>
  <c r="P1068" i="34"/>
  <c r="Q1068" i="34"/>
  <c r="S1068" i="34"/>
  <c r="T1068" i="34"/>
  <c r="V1068" i="34"/>
  <c r="W1068" i="34"/>
  <c r="X1068" i="34"/>
  <c r="N1069" i="34"/>
  <c r="P1069" i="34"/>
  <c r="Q1069" i="34"/>
  <c r="S1069" i="34"/>
  <c r="T1069" i="34"/>
  <c r="V1069" i="34"/>
  <c r="W1069" i="34"/>
  <c r="X1069" i="34"/>
  <c r="N1070" i="34"/>
  <c r="P1070" i="34"/>
  <c r="Q1070" i="34"/>
  <c r="S1070" i="34"/>
  <c r="T1070" i="34"/>
  <c r="V1070" i="34"/>
  <c r="W1070" i="34"/>
  <c r="X1070" i="34"/>
  <c r="N1071" i="34"/>
  <c r="P1071" i="34"/>
  <c r="Q1071" i="34"/>
  <c r="S1071" i="34"/>
  <c r="T1071" i="34"/>
  <c r="V1071" i="34"/>
  <c r="W1071" i="34"/>
  <c r="X1071" i="34"/>
  <c r="N1072" i="34"/>
  <c r="P1072" i="34"/>
  <c r="Q1072" i="34"/>
  <c r="S1072" i="34"/>
  <c r="T1072" i="34"/>
  <c r="V1072" i="34"/>
  <c r="W1072" i="34"/>
  <c r="X1072" i="34"/>
  <c r="N1073" i="34"/>
  <c r="P1073" i="34"/>
  <c r="Q1073" i="34"/>
  <c r="S1073" i="34"/>
  <c r="T1073" i="34"/>
  <c r="V1073" i="34"/>
  <c r="W1073" i="34"/>
  <c r="X1073" i="34"/>
  <c r="N1074" i="34"/>
  <c r="P1074" i="34"/>
  <c r="Q1074" i="34"/>
  <c r="S1074" i="34"/>
  <c r="T1074" i="34"/>
  <c r="V1074" i="34"/>
  <c r="W1074" i="34"/>
  <c r="X1074" i="34"/>
  <c r="N1075" i="34"/>
  <c r="P1075" i="34"/>
  <c r="Q1075" i="34"/>
  <c r="S1075" i="34"/>
  <c r="T1075" i="34"/>
  <c r="V1075" i="34"/>
  <c r="W1075" i="34"/>
  <c r="X1075" i="34"/>
  <c r="N1076" i="34"/>
  <c r="P1076" i="34"/>
  <c r="Q1076" i="34"/>
  <c r="S1076" i="34"/>
  <c r="T1076" i="34"/>
  <c r="V1076" i="34"/>
  <c r="W1076" i="34"/>
  <c r="X1076" i="34"/>
  <c r="N1077" i="34"/>
  <c r="P1077" i="34"/>
  <c r="Q1077" i="34"/>
  <c r="S1077" i="34"/>
  <c r="T1077" i="34"/>
  <c r="V1077" i="34"/>
  <c r="W1077" i="34"/>
  <c r="X1077" i="34"/>
  <c r="N1078" i="34"/>
  <c r="P1078" i="34"/>
  <c r="Q1078" i="34"/>
  <c r="S1078" i="34"/>
  <c r="T1078" i="34"/>
  <c r="V1078" i="34"/>
  <c r="W1078" i="34"/>
  <c r="X1078" i="34"/>
  <c r="N1079" i="34"/>
  <c r="P1079" i="34"/>
  <c r="Q1079" i="34"/>
  <c r="S1079" i="34"/>
  <c r="T1079" i="34"/>
  <c r="V1079" i="34"/>
  <c r="W1079" i="34"/>
  <c r="X1079" i="34"/>
  <c r="N1080" i="34"/>
  <c r="P1080" i="34"/>
  <c r="Q1080" i="34"/>
  <c r="S1080" i="34"/>
  <c r="T1080" i="34"/>
  <c r="V1080" i="34"/>
  <c r="W1080" i="34"/>
  <c r="X1080" i="34"/>
  <c r="N1081" i="34"/>
  <c r="P1081" i="34"/>
  <c r="Q1081" i="34"/>
  <c r="S1081" i="34"/>
  <c r="T1081" i="34"/>
  <c r="V1081" i="34"/>
  <c r="W1081" i="34"/>
  <c r="X1081" i="34"/>
  <c r="N1082" i="34"/>
  <c r="P1082" i="34"/>
  <c r="Q1082" i="34"/>
  <c r="S1082" i="34"/>
  <c r="T1082" i="34"/>
  <c r="V1082" i="34"/>
  <c r="W1082" i="34"/>
  <c r="X1082" i="34"/>
  <c r="N1083" i="34"/>
  <c r="P1083" i="34"/>
  <c r="Q1083" i="34"/>
  <c r="S1083" i="34"/>
  <c r="T1083" i="34"/>
  <c r="V1083" i="34"/>
  <c r="W1083" i="34"/>
  <c r="X1083" i="34"/>
  <c r="N1084" i="34"/>
  <c r="P1084" i="34"/>
  <c r="Q1084" i="34"/>
  <c r="S1084" i="34"/>
  <c r="T1084" i="34"/>
  <c r="V1084" i="34"/>
  <c r="W1084" i="34"/>
  <c r="X1084" i="34"/>
  <c r="N1085" i="34"/>
  <c r="P1085" i="34"/>
  <c r="Q1085" i="34"/>
  <c r="S1085" i="34"/>
  <c r="T1085" i="34"/>
  <c r="V1085" i="34"/>
  <c r="W1085" i="34"/>
  <c r="X1085" i="34"/>
  <c r="N1086" i="34"/>
  <c r="P1086" i="34"/>
  <c r="Q1086" i="34"/>
  <c r="S1086" i="34"/>
  <c r="T1086" i="34"/>
  <c r="V1086" i="34"/>
  <c r="W1086" i="34"/>
  <c r="X1086" i="34"/>
  <c r="N1087" i="34"/>
  <c r="P1087" i="34"/>
  <c r="Q1087" i="34"/>
  <c r="S1087" i="34"/>
  <c r="T1087" i="34"/>
  <c r="V1087" i="34"/>
  <c r="W1087" i="34"/>
  <c r="X1087" i="34"/>
  <c r="N1088" i="34"/>
  <c r="P1088" i="34"/>
  <c r="Q1088" i="34"/>
  <c r="S1088" i="34"/>
  <c r="T1088" i="34"/>
  <c r="V1088" i="34"/>
  <c r="W1088" i="34"/>
  <c r="X1088" i="34"/>
  <c r="N1089" i="34"/>
  <c r="P1089" i="34"/>
  <c r="Q1089" i="34"/>
  <c r="S1089" i="34"/>
  <c r="T1089" i="34"/>
  <c r="V1089" i="34"/>
  <c r="W1089" i="34"/>
  <c r="X1089" i="34"/>
  <c r="N1090" i="34"/>
  <c r="P1090" i="34"/>
  <c r="Q1090" i="34"/>
  <c r="S1090" i="34"/>
  <c r="T1090" i="34"/>
  <c r="V1090" i="34"/>
  <c r="W1090" i="34"/>
  <c r="X1090" i="34"/>
  <c r="N1091" i="34"/>
  <c r="P1091" i="34"/>
  <c r="Q1091" i="34"/>
  <c r="S1091" i="34"/>
  <c r="T1091" i="34"/>
  <c r="V1091" i="34"/>
  <c r="W1091" i="34"/>
  <c r="X1091" i="34"/>
  <c r="N1092" i="34"/>
  <c r="P1092" i="34"/>
  <c r="Q1092" i="34"/>
  <c r="S1092" i="34"/>
  <c r="T1092" i="34"/>
  <c r="V1092" i="34"/>
  <c r="W1092" i="34"/>
  <c r="X1092" i="34"/>
  <c r="N1093" i="34"/>
  <c r="P1093" i="34"/>
  <c r="Q1093" i="34"/>
  <c r="S1093" i="34"/>
  <c r="T1093" i="34"/>
  <c r="V1093" i="34"/>
  <c r="W1093" i="34"/>
  <c r="X1093" i="34"/>
  <c r="N1094" i="34"/>
  <c r="P1094" i="34"/>
  <c r="Q1094" i="34"/>
  <c r="S1094" i="34"/>
  <c r="T1094" i="34"/>
  <c r="V1094" i="34"/>
  <c r="W1094" i="34"/>
  <c r="X1094" i="34"/>
  <c r="N1095" i="34"/>
  <c r="P1095" i="34"/>
  <c r="Q1095" i="34"/>
  <c r="S1095" i="34"/>
  <c r="T1095" i="34"/>
  <c r="V1095" i="34"/>
  <c r="W1095" i="34"/>
  <c r="X1095" i="34"/>
  <c r="N1096" i="34"/>
  <c r="P1096" i="34"/>
  <c r="Q1096" i="34"/>
  <c r="S1096" i="34"/>
  <c r="T1096" i="34"/>
  <c r="V1096" i="34"/>
  <c r="W1096" i="34"/>
  <c r="X1096" i="34"/>
  <c r="N1097" i="34"/>
  <c r="P1097" i="34"/>
  <c r="Q1097" i="34"/>
  <c r="S1097" i="34"/>
  <c r="T1097" i="34"/>
  <c r="V1097" i="34"/>
  <c r="W1097" i="34"/>
  <c r="X1097" i="34"/>
  <c r="N1098" i="34"/>
  <c r="P1098" i="34"/>
  <c r="Q1098" i="34"/>
  <c r="S1098" i="34"/>
  <c r="T1098" i="34"/>
  <c r="V1098" i="34"/>
  <c r="W1098" i="34"/>
  <c r="X1098" i="34"/>
  <c r="N1099" i="34"/>
  <c r="P1099" i="34"/>
  <c r="Q1099" i="34"/>
  <c r="S1099" i="34"/>
  <c r="T1099" i="34"/>
  <c r="V1099" i="34"/>
  <c r="W1099" i="34"/>
  <c r="X1099" i="34"/>
  <c r="N1100" i="34"/>
  <c r="P1100" i="34"/>
  <c r="Q1100" i="34"/>
  <c r="S1100" i="34"/>
  <c r="T1100" i="34"/>
  <c r="V1100" i="34"/>
  <c r="W1100" i="34"/>
  <c r="X1100" i="34"/>
  <c r="N1101" i="34"/>
  <c r="P1101" i="34"/>
  <c r="Q1101" i="34"/>
  <c r="S1101" i="34"/>
  <c r="T1101" i="34"/>
  <c r="V1101" i="34"/>
  <c r="W1101" i="34"/>
  <c r="X1101" i="34"/>
  <c r="N1102" i="34"/>
  <c r="P1102" i="34"/>
  <c r="Q1102" i="34"/>
  <c r="S1102" i="34"/>
  <c r="T1102" i="34"/>
  <c r="V1102" i="34"/>
  <c r="W1102" i="34"/>
  <c r="X1102" i="34"/>
  <c r="N1103" i="34"/>
  <c r="P1103" i="34"/>
  <c r="Q1103" i="34"/>
  <c r="S1103" i="34"/>
  <c r="T1103" i="34"/>
  <c r="V1103" i="34"/>
  <c r="W1103" i="34"/>
  <c r="X1103" i="34"/>
  <c r="N1104" i="34"/>
  <c r="P1104" i="34"/>
  <c r="Q1104" i="34"/>
  <c r="S1104" i="34"/>
  <c r="T1104" i="34"/>
  <c r="V1104" i="34"/>
  <c r="W1104" i="34"/>
  <c r="X1104" i="34"/>
  <c r="N1105" i="34"/>
  <c r="P1105" i="34"/>
  <c r="Q1105" i="34"/>
  <c r="S1105" i="34"/>
  <c r="T1105" i="34"/>
  <c r="V1105" i="34"/>
  <c r="W1105" i="34"/>
  <c r="X1105" i="34"/>
  <c r="N1106" i="34"/>
  <c r="P1106" i="34"/>
  <c r="Q1106" i="34"/>
  <c r="S1106" i="34"/>
  <c r="T1106" i="34"/>
  <c r="V1106" i="34"/>
  <c r="W1106" i="34"/>
  <c r="X1106" i="34"/>
  <c r="N1107" i="34"/>
  <c r="P1107" i="34"/>
  <c r="Q1107" i="34"/>
  <c r="S1107" i="34"/>
  <c r="T1107" i="34"/>
  <c r="V1107" i="34"/>
  <c r="W1107" i="34"/>
  <c r="X1107" i="34"/>
  <c r="N1108" i="34"/>
  <c r="P1108" i="34"/>
  <c r="Q1108" i="34"/>
  <c r="S1108" i="34"/>
  <c r="T1108" i="34"/>
  <c r="V1108" i="34"/>
  <c r="W1108" i="34"/>
  <c r="X1108" i="34"/>
  <c r="N1109" i="34"/>
  <c r="P1109" i="34"/>
  <c r="Q1109" i="34"/>
  <c r="S1109" i="34"/>
  <c r="T1109" i="34"/>
  <c r="V1109" i="34"/>
  <c r="W1109" i="34"/>
  <c r="X1109" i="34"/>
  <c r="N1110" i="34"/>
  <c r="P1110" i="34"/>
  <c r="Q1110" i="34"/>
  <c r="S1110" i="34"/>
  <c r="T1110" i="34"/>
  <c r="V1110" i="34"/>
  <c r="W1110" i="34"/>
  <c r="X1110" i="34"/>
  <c r="N1111" i="34"/>
  <c r="P1111" i="34"/>
  <c r="Q1111" i="34"/>
  <c r="S1111" i="34"/>
  <c r="T1111" i="34"/>
  <c r="V1111" i="34"/>
  <c r="W1111" i="34"/>
  <c r="X1111" i="34"/>
  <c r="N1112" i="34"/>
  <c r="P1112" i="34"/>
  <c r="Q1112" i="34"/>
  <c r="S1112" i="34"/>
  <c r="T1112" i="34"/>
  <c r="V1112" i="34"/>
  <c r="W1112" i="34"/>
  <c r="X1112" i="34"/>
  <c r="N1113" i="34"/>
  <c r="P1113" i="34"/>
  <c r="Q1113" i="34"/>
  <c r="S1113" i="34"/>
  <c r="T1113" i="34"/>
  <c r="V1113" i="34"/>
  <c r="W1113" i="34"/>
  <c r="X1113" i="34"/>
  <c r="N1114" i="34"/>
  <c r="P1114" i="34"/>
  <c r="Q1114" i="34"/>
  <c r="S1114" i="34"/>
  <c r="T1114" i="34"/>
  <c r="V1114" i="34"/>
  <c r="W1114" i="34"/>
  <c r="X1114" i="34"/>
  <c r="N1115" i="34"/>
  <c r="P1115" i="34"/>
  <c r="Q1115" i="34"/>
  <c r="S1115" i="34"/>
  <c r="T1115" i="34"/>
  <c r="V1115" i="34"/>
  <c r="W1115" i="34"/>
  <c r="X1115" i="34"/>
  <c r="N1116" i="34"/>
  <c r="P1116" i="34"/>
  <c r="Q1116" i="34"/>
  <c r="S1116" i="34"/>
  <c r="T1116" i="34"/>
  <c r="V1116" i="34"/>
  <c r="W1116" i="34"/>
  <c r="X1116" i="34"/>
  <c r="N1117" i="34"/>
  <c r="P1117" i="34"/>
  <c r="Q1117" i="34"/>
  <c r="S1117" i="34"/>
  <c r="T1117" i="34"/>
  <c r="V1117" i="34"/>
  <c r="W1117" i="34"/>
  <c r="X1117" i="34"/>
  <c r="N1118" i="34"/>
  <c r="P1118" i="34"/>
  <c r="Q1118" i="34"/>
  <c r="S1118" i="34"/>
  <c r="T1118" i="34"/>
  <c r="V1118" i="34"/>
  <c r="W1118" i="34"/>
  <c r="X1118" i="34"/>
  <c r="N1119" i="34"/>
  <c r="P1119" i="34"/>
  <c r="Q1119" i="34"/>
  <c r="S1119" i="34"/>
  <c r="T1119" i="34"/>
  <c r="V1119" i="34"/>
  <c r="W1119" i="34"/>
  <c r="X1119" i="34"/>
  <c r="N1120" i="34"/>
  <c r="P1120" i="34"/>
  <c r="Q1120" i="34"/>
  <c r="S1120" i="34"/>
  <c r="T1120" i="34"/>
  <c r="V1120" i="34"/>
  <c r="W1120" i="34"/>
  <c r="X1120" i="34"/>
  <c r="N1121" i="34"/>
  <c r="P1121" i="34"/>
  <c r="Q1121" i="34"/>
  <c r="S1121" i="34"/>
  <c r="T1121" i="34"/>
  <c r="V1121" i="34"/>
  <c r="W1121" i="34"/>
  <c r="X1121" i="34"/>
  <c r="N1122" i="34"/>
  <c r="S1122" i="34"/>
  <c r="T1122" i="34"/>
  <c r="V1122" i="34"/>
  <c r="W1122" i="34"/>
  <c r="X1122" i="34"/>
  <c r="N1123" i="34"/>
  <c r="P1123" i="34"/>
  <c r="Q1123" i="34"/>
  <c r="S1123" i="34"/>
  <c r="T1123" i="34"/>
  <c r="V1123" i="34"/>
  <c r="W1123" i="34"/>
  <c r="X1123" i="34"/>
  <c r="N1124" i="34"/>
  <c r="P1124" i="34"/>
  <c r="Q1124" i="34"/>
  <c r="S1124" i="34"/>
  <c r="T1124" i="34"/>
  <c r="V1124" i="34"/>
  <c r="W1124" i="34"/>
  <c r="X1124" i="34"/>
  <c r="N1125" i="34"/>
  <c r="P1125" i="34"/>
  <c r="Q1125" i="34"/>
  <c r="S1125" i="34"/>
  <c r="T1125" i="34"/>
  <c r="V1125" i="34"/>
  <c r="W1125" i="34"/>
  <c r="X1125" i="34"/>
  <c r="N1126" i="34"/>
  <c r="P1126" i="34"/>
  <c r="Q1126" i="34"/>
  <c r="S1126" i="34"/>
  <c r="T1126" i="34"/>
  <c r="V1126" i="34"/>
  <c r="W1126" i="34"/>
  <c r="X1126" i="34"/>
  <c r="N1127" i="34"/>
  <c r="P1127" i="34"/>
  <c r="Q1127" i="34"/>
  <c r="S1127" i="34"/>
  <c r="T1127" i="34"/>
  <c r="V1127" i="34"/>
  <c r="W1127" i="34"/>
  <c r="X1127" i="34"/>
  <c r="N1128" i="34"/>
  <c r="S1128" i="34"/>
  <c r="T1128" i="34"/>
  <c r="V1128" i="34"/>
  <c r="W1128" i="34"/>
  <c r="X1128" i="34"/>
  <c r="N1129" i="34"/>
  <c r="P1129" i="34"/>
  <c r="Q1129" i="34"/>
  <c r="S1129" i="34"/>
  <c r="T1129" i="34"/>
  <c r="V1129" i="34"/>
  <c r="W1129" i="34"/>
  <c r="X1129" i="34"/>
  <c r="N1130" i="34"/>
  <c r="P1130" i="34"/>
  <c r="Q1130" i="34"/>
  <c r="S1130" i="34"/>
  <c r="T1130" i="34"/>
  <c r="V1130" i="34"/>
  <c r="W1130" i="34"/>
  <c r="X1130" i="34"/>
  <c r="N1131" i="34"/>
  <c r="P1131" i="34"/>
  <c r="Q1131" i="34"/>
  <c r="S1131" i="34"/>
  <c r="T1131" i="34"/>
  <c r="V1131" i="34"/>
  <c r="W1131" i="34"/>
  <c r="X1131" i="34"/>
  <c r="N1132" i="34"/>
  <c r="P1132" i="34"/>
  <c r="Q1132" i="34"/>
  <c r="S1132" i="34"/>
  <c r="T1132" i="34"/>
  <c r="V1132" i="34"/>
  <c r="W1132" i="34"/>
  <c r="X1132" i="34"/>
  <c r="N1133" i="34"/>
  <c r="P1133" i="34"/>
  <c r="Q1133" i="34"/>
  <c r="S1133" i="34"/>
  <c r="T1133" i="34"/>
  <c r="V1133" i="34"/>
  <c r="W1133" i="34"/>
  <c r="X1133" i="34"/>
  <c r="N1134" i="34"/>
  <c r="P1134" i="34"/>
  <c r="Q1134" i="34"/>
  <c r="S1134" i="34"/>
  <c r="T1134" i="34"/>
  <c r="V1134" i="34"/>
  <c r="W1134" i="34"/>
  <c r="X1134" i="34"/>
  <c r="N1135" i="34"/>
  <c r="P1135" i="34"/>
  <c r="Q1135" i="34"/>
  <c r="S1135" i="34"/>
  <c r="T1135" i="34"/>
  <c r="V1135" i="34"/>
  <c r="W1135" i="34"/>
  <c r="X1135" i="34"/>
  <c r="N1136" i="34"/>
  <c r="P1136" i="34"/>
  <c r="Q1136" i="34"/>
  <c r="S1136" i="34"/>
  <c r="T1136" i="34"/>
  <c r="V1136" i="34"/>
  <c r="W1136" i="34"/>
  <c r="X1136" i="34"/>
  <c r="N1137" i="34"/>
  <c r="P1137" i="34"/>
  <c r="Q1137" i="34"/>
  <c r="S1137" i="34"/>
  <c r="T1137" i="34"/>
  <c r="V1137" i="34"/>
  <c r="W1137" i="34"/>
  <c r="X1137" i="34"/>
  <c r="N1138" i="34"/>
  <c r="S1138" i="34"/>
  <c r="T1138" i="34"/>
  <c r="V1138" i="34"/>
  <c r="W1138" i="34"/>
  <c r="X1138" i="34"/>
  <c r="N1139" i="34"/>
  <c r="P1139" i="34"/>
  <c r="Q1139" i="34"/>
  <c r="S1139" i="34"/>
  <c r="T1139" i="34"/>
  <c r="V1139" i="34"/>
  <c r="W1139" i="34"/>
  <c r="X1139" i="34"/>
  <c r="N1140" i="34"/>
  <c r="P1140" i="34"/>
  <c r="Q1140" i="34"/>
  <c r="S1140" i="34"/>
  <c r="T1140" i="34"/>
  <c r="V1140" i="34"/>
  <c r="W1140" i="34"/>
  <c r="X1140" i="34"/>
  <c r="N1141" i="34"/>
  <c r="P1141" i="34"/>
  <c r="Q1141" i="34"/>
  <c r="S1141" i="34"/>
  <c r="T1141" i="34"/>
  <c r="V1141" i="34"/>
  <c r="W1141" i="34"/>
  <c r="X1141" i="34"/>
  <c r="N1142" i="34"/>
  <c r="P1142" i="34"/>
  <c r="Q1142" i="34"/>
  <c r="S1142" i="34"/>
  <c r="T1142" i="34"/>
  <c r="V1142" i="34"/>
  <c r="W1142" i="34"/>
  <c r="X1142" i="34"/>
  <c r="N1143" i="34"/>
  <c r="P1143" i="34"/>
  <c r="Q1143" i="34"/>
  <c r="S1143" i="34"/>
  <c r="T1143" i="34"/>
  <c r="V1143" i="34"/>
  <c r="W1143" i="34"/>
  <c r="X1143" i="34"/>
  <c r="N1144" i="34"/>
  <c r="P1144" i="34"/>
  <c r="Q1144" i="34"/>
  <c r="S1144" i="34"/>
  <c r="T1144" i="34"/>
  <c r="V1144" i="34"/>
  <c r="W1144" i="34"/>
  <c r="X1144" i="34"/>
  <c r="N1145" i="34"/>
  <c r="P1145" i="34"/>
  <c r="Q1145" i="34"/>
  <c r="S1145" i="34"/>
  <c r="T1145" i="34"/>
  <c r="V1145" i="34"/>
  <c r="W1145" i="34"/>
  <c r="X1145" i="34"/>
  <c r="N1146" i="34"/>
  <c r="P1146" i="34"/>
  <c r="Q1146" i="34"/>
  <c r="S1146" i="34"/>
  <c r="T1146" i="34"/>
  <c r="V1146" i="34"/>
  <c r="W1146" i="34"/>
  <c r="X1146" i="34"/>
  <c r="N1147" i="34"/>
  <c r="P1147" i="34"/>
  <c r="Q1147" i="34"/>
  <c r="S1147" i="34"/>
  <c r="T1147" i="34"/>
  <c r="V1147" i="34"/>
  <c r="W1147" i="34"/>
  <c r="X1147" i="34"/>
  <c r="N1148" i="34"/>
  <c r="S1148" i="34"/>
  <c r="T1148" i="34"/>
  <c r="V1148" i="34"/>
  <c r="W1148" i="34"/>
  <c r="X1148" i="34"/>
  <c r="N1149" i="34"/>
  <c r="P1149" i="34"/>
  <c r="Q1149" i="34"/>
  <c r="S1149" i="34"/>
  <c r="T1149" i="34"/>
  <c r="V1149" i="34"/>
  <c r="W1149" i="34"/>
  <c r="X1149" i="34"/>
  <c r="N1150" i="34"/>
  <c r="P1150" i="34"/>
  <c r="Q1150" i="34"/>
  <c r="S1150" i="34"/>
  <c r="T1150" i="34"/>
  <c r="V1150" i="34"/>
  <c r="W1150" i="34"/>
  <c r="X1150" i="34"/>
  <c r="N1151" i="34"/>
  <c r="P1151" i="34"/>
  <c r="Q1151" i="34"/>
  <c r="S1151" i="34"/>
  <c r="T1151" i="34"/>
  <c r="V1151" i="34"/>
  <c r="W1151" i="34"/>
  <c r="X1151" i="34"/>
  <c r="N1152" i="34"/>
  <c r="P1152" i="34"/>
  <c r="Q1152" i="34"/>
  <c r="S1152" i="34"/>
  <c r="T1152" i="34"/>
  <c r="V1152" i="34"/>
  <c r="W1152" i="34"/>
  <c r="X1152" i="34"/>
  <c r="N1153" i="34"/>
  <c r="P1153" i="34"/>
  <c r="Q1153" i="34"/>
  <c r="S1153" i="34"/>
  <c r="T1153" i="34"/>
  <c r="V1153" i="34"/>
  <c r="W1153" i="34"/>
  <c r="X1153" i="34"/>
  <c r="N1154" i="34"/>
  <c r="S1154" i="34"/>
  <c r="T1154" i="34"/>
  <c r="V1154" i="34"/>
  <c r="W1154" i="34"/>
  <c r="X1154" i="34"/>
  <c r="N1155" i="34"/>
  <c r="P1155" i="34"/>
  <c r="Q1155" i="34"/>
  <c r="S1155" i="34"/>
  <c r="T1155" i="34"/>
  <c r="V1155" i="34"/>
  <c r="W1155" i="34"/>
  <c r="X1155" i="34"/>
  <c r="N1156" i="34"/>
  <c r="P1156" i="34"/>
  <c r="Q1156" i="34"/>
  <c r="S1156" i="34"/>
  <c r="T1156" i="34"/>
  <c r="V1156" i="34"/>
  <c r="W1156" i="34"/>
  <c r="X1156" i="34"/>
  <c r="N1157" i="34"/>
  <c r="P1157" i="34"/>
  <c r="Q1157" i="34"/>
  <c r="S1157" i="34"/>
  <c r="T1157" i="34"/>
  <c r="V1157" i="34"/>
  <c r="W1157" i="34"/>
  <c r="X1157" i="34"/>
  <c r="N1158" i="34"/>
  <c r="S1158" i="34"/>
  <c r="T1158" i="34"/>
  <c r="V1158" i="34"/>
  <c r="W1158" i="34"/>
  <c r="X1158" i="34"/>
  <c r="N1159" i="34"/>
  <c r="P1159" i="34"/>
  <c r="Q1159" i="34"/>
  <c r="S1159" i="34"/>
  <c r="T1159" i="34"/>
  <c r="V1159" i="34"/>
  <c r="W1159" i="34"/>
  <c r="X1159" i="34"/>
  <c r="N1160" i="34"/>
  <c r="P1160" i="34"/>
  <c r="Q1160" i="34"/>
  <c r="S1160" i="34"/>
  <c r="T1160" i="34"/>
  <c r="V1160" i="34"/>
  <c r="W1160" i="34"/>
  <c r="X1160" i="34"/>
  <c r="N1161" i="34"/>
  <c r="P1161" i="34"/>
  <c r="Q1161" i="34"/>
  <c r="S1161" i="34"/>
  <c r="T1161" i="34"/>
  <c r="V1161" i="34"/>
  <c r="W1161" i="34"/>
  <c r="X1161" i="34"/>
  <c r="N1162" i="34"/>
  <c r="S1162" i="34"/>
  <c r="T1162" i="34"/>
  <c r="V1162" i="34"/>
  <c r="W1162" i="34"/>
  <c r="X1162" i="34"/>
  <c r="N1163" i="34"/>
  <c r="P1163" i="34"/>
  <c r="Q1163" i="34"/>
  <c r="S1163" i="34"/>
  <c r="T1163" i="34"/>
  <c r="V1163" i="34"/>
  <c r="W1163" i="34"/>
  <c r="X1163" i="34"/>
  <c r="N1164" i="34"/>
  <c r="P1164" i="34"/>
  <c r="Q1164" i="34"/>
  <c r="S1164" i="34"/>
  <c r="T1164" i="34"/>
  <c r="V1164" i="34"/>
  <c r="W1164" i="34"/>
  <c r="X1164" i="34"/>
  <c r="N1165" i="34"/>
  <c r="P1165" i="34"/>
  <c r="Q1165" i="34"/>
  <c r="S1165" i="34"/>
  <c r="T1165" i="34"/>
  <c r="V1165" i="34"/>
  <c r="W1165" i="34"/>
  <c r="X1165" i="34"/>
  <c r="N1166" i="34"/>
  <c r="S1166" i="34"/>
  <c r="T1166" i="34"/>
  <c r="V1166" i="34"/>
  <c r="W1166" i="34"/>
  <c r="X1166" i="34"/>
  <c r="N1167" i="34"/>
  <c r="P1167" i="34"/>
  <c r="Q1167" i="34"/>
  <c r="S1167" i="34"/>
  <c r="T1167" i="34"/>
  <c r="V1167" i="34"/>
  <c r="W1167" i="34"/>
  <c r="X1167" i="34"/>
  <c r="N1168" i="34"/>
  <c r="S1168" i="34"/>
  <c r="T1168" i="34"/>
  <c r="V1168" i="34"/>
  <c r="W1168" i="34"/>
  <c r="X1168" i="34"/>
  <c r="N1169" i="34"/>
  <c r="P1169" i="34"/>
  <c r="Q1169" i="34"/>
  <c r="S1169" i="34"/>
  <c r="T1169" i="34"/>
  <c r="V1169" i="34"/>
  <c r="W1169" i="34"/>
  <c r="X1169" i="34"/>
  <c r="N1170" i="34"/>
  <c r="P1170" i="34"/>
  <c r="Q1170" i="34"/>
  <c r="S1170" i="34"/>
  <c r="T1170" i="34"/>
  <c r="V1170" i="34"/>
  <c r="W1170" i="34"/>
  <c r="X1170" i="34"/>
  <c r="N1171" i="34"/>
  <c r="P1171" i="34"/>
  <c r="Q1171" i="34"/>
  <c r="S1171" i="34"/>
  <c r="T1171" i="34"/>
  <c r="V1171" i="34"/>
  <c r="W1171" i="34"/>
  <c r="X1171" i="34"/>
  <c r="N1172" i="34"/>
  <c r="S1172" i="34"/>
  <c r="T1172" i="34"/>
  <c r="V1172" i="34"/>
  <c r="W1172" i="34"/>
  <c r="X1172" i="34"/>
  <c r="N1173" i="34"/>
  <c r="P1173" i="34"/>
  <c r="Q1173" i="34"/>
  <c r="S1173" i="34"/>
  <c r="T1173" i="34"/>
  <c r="V1173" i="34"/>
  <c r="W1173" i="34"/>
  <c r="X1173" i="34"/>
  <c r="N1174" i="34"/>
  <c r="P1174" i="34"/>
  <c r="Q1174" i="34"/>
  <c r="S1174" i="34"/>
  <c r="T1174" i="34"/>
  <c r="V1174" i="34"/>
  <c r="W1174" i="34"/>
  <c r="X1174" i="34"/>
  <c r="N1175" i="34"/>
  <c r="P1175" i="34"/>
  <c r="Q1175" i="34"/>
  <c r="S1175" i="34"/>
  <c r="T1175" i="34"/>
  <c r="V1175" i="34"/>
  <c r="W1175" i="34"/>
  <c r="X1175" i="34"/>
  <c r="N1176" i="34"/>
  <c r="S1176" i="34"/>
  <c r="T1176" i="34"/>
  <c r="V1176" i="34"/>
  <c r="W1176" i="34"/>
  <c r="X1176" i="34"/>
  <c r="N1177" i="34"/>
  <c r="P1177" i="34"/>
  <c r="Q1177" i="34"/>
  <c r="S1177" i="34"/>
  <c r="T1177" i="34"/>
  <c r="V1177" i="34"/>
  <c r="W1177" i="34"/>
  <c r="X1177" i="34"/>
  <c r="N1178" i="34"/>
  <c r="P1178" i="34"/>
  <c r="Q1178" i="34"/>
  <c r="S1178" i="34"/>
  <c r="T1178" i="34"/>
  <c r="V1178" i="34"/>
  <c r="W1178" i="34"/>
  <c r="X1178" i="34"/>
  <c r="N1179" i="34"/>
  <c r="P1179" i="34"/>
  <c r="Q1179" i="34"/>
  <c r="S1179" i="34"/>
  <c r="T1179" i="34"/>
  <c r="V1179" i="34"/>
  <c r="W1179" i="34"/>
  <c r="X1179" i="34"/>
  <c r="N1180" i="34"/>
  <c r="S1180" i="34"/>
  <c r="T1180" i="34"/>
  <c r="V1180" i="34"/>
  <c r="W1180" i="34"/>
  <c r="X1180" i="34"/>
  <c r="N1181" i="34"/>
  <c r="P1181" i="34"/>
  <c r="Q1181" i="34"/>
  <c r="S1181" i="34"/>
  <c r="T1181" i="34"/>
  <c r="V1181" i="34"/>
  <c r="W1181" i="34"/>
  <c r="X1181" i="34"/>
  <c r="N1182" i="34"/>
  <c r="S1182" i="34"/>
  <c r="T1182" i="34"/>
  <c r="V1182" i="34"/>
  <c r="W1182" i="34"/>
  <c r="X1182" i="34"/>
  <c r="N1183" i="34"/>
  <c r="S1183" i="34"/>
  <c r="T1183" i="34"/>
  <c r="V1183" i="34"/>
  <c r="W1183" i="34"/>
  <c r="X1183" i="34"/>
  <c r="N1184" i="34"/>
  <c r="P1184" i="34"/>
  <c r="Q1184" i="34"/>
  <c r="S1184" i="34"/>
  <c r="T1184" i="34"/>
  <c r="V1184" i="34"/>
  <c r="W1184" i="34"/>
  <c r="X1184" i="34"/>
  <c r="N1185" i="34"/>
  <c r="P1185" i="34"/>
  <c r="Q1185" i="34"/>
  <c r="S1185" i="34"/>
  <c r="T1185" i="34"/>
  <c r="V1185" i="34"/>
  <c r="W1185" i="34"/>
  <c r="X1185" i="34"/>
  <c r="N1186" i="34"/>
  <c r="P1186" i="34"/>
  <c r="Q1186" i="34"/>
  <c r="S1186" i="34"/>
  <c r="T1186" i="34"/>
  <c r="V1186" i="34"/>
  <c r="W1186" i="34"/>
  <c r="X1186" i="34"/>
  <c r="N1187" i="34"/>
  <c r="P1187" i="34"/>
  <c r="Q1187" i="34"/>
  <c r="S1187" i="34"/>
  <c r="T1187" i="34"/>
  <c r="V1187" i="34"/>
  <c r="W1187" i="34"/>
  <c r="X1187" i="34"/>
  <c r="N1188" i="34"/>
  <c r="P1188" i="34"/>
  <c r="Q1188" i="34"/>
  <c r="S1188" i="34"/>
  <c r="T1188" i="34"/>
  <c r="V1188" i="34"/>
  <c r="W1188" i="34"/>
  <c r="X1188" i="34"/>
  <c r="N1189" i="34"/>
  <c r="P1189" i="34"/>
  <c r="Q1189" i="34"/>
  <c r="S1189" i="34"/>
  <c r="T1189" i="34"/>
  <c r="V1189" i="34"/>
  <c r="W1189" i="34"/>
  <c r="X1189" i="34"/>
  <c r="N1190" i="34"/>
  <c r="S1190" i="34"/>
  <c r="T1190" i="34"/>
  <c r="V1190" i="34"/>
  <c r="W1190" i="34"/>
  <c r="X1190" i="34"/>
  <c r="N1191" i="34"/>
  <c r="P1191" i="34"/>
  <c r="Q1191" i="34"/>
  <c r="S1191" i="34"/>
  <c r="T1191" i="34"/>
  <c r="V1191" i="34"/>
  <c r="W1191" i="34"/>
  <c r="X1191" i="34"/>
  <c r="N1192" i="34"/>
  <c r="P1192" i="34"/>
  <c r="Q1192" i="34"/>
  <c r="S1192" i="34"/>
  <c r="T1192" i="34"/>
  <c r="V1192" i="34"/>
  <c r="W1192" i="34"/>
  <c r="X1192" i="34"/>
  <c r="N1193" i="34"/>
  <c r="P1193" i="34"/>
  <c r="Q1193" i="34"/>
  <c r="S1193" i="34"/>
  <c r="T1193" i="34"/>
  <c r="V1193" i="34"/>
  <c r="W1193" i="34"/>
  <c r="X1193" i="34"/>
  <c r="N1194" i="34"/>
  <c r="P1194" i="34"/>
  <c r="Q1194" i="34"/>
  <c r="S1194" i="34"/>
  <c r="T1194" i="34"/>
  <c r="V1194" i="34"/>
  <c r="W1194" i="34"/>
  <c r="X1194" i="34"/>
  <c r="N1195" i="34"/>
  <c r="P1195" i="34"/>
  <c r="Q1195" i="34"/>
  <c r="S1195" i="34"/>
  <c r="T1195" i="34"/>
  <c r="V1195" i="34"/>
  <c r="W1195" i="34"/>
  <c r="X1195" i="34"/>
  <c r="N1196" i="34"/>
  <c r="P1196" i="34"/>
  <c r="Q1196" i="34"/>
  <c r="S1196" i="34"/>
  <c r="T1196" i="34"/>
  <c r="V1196" i="34"/>
  <c r="W1196" i="34"/>
  <c r="X1196" i="34"/>
  <c r="N1197" i="34"/>
  <c r="P1197" i="34"/>
  <c r="Q1197" i="34"/>
  <c r="S1197" i="34"/>
  <c r="T1197" i="34"/>
  <c r="V1197" i="34"/>
  <c r="W1197" i="34"/>
  <c r="X1197" i="34"/>
  <c r="N1198" i="34"/>
  <c r="S1198" i="34"/>
  <c r="T1198" i="34"/>
  <c r="V1198" i="34"/>
  <c r="W1198" i="34"/>
  <c r="X1198" i="34"/>
  <c r="N1199" i="34"/>
  <c r="P1199" i="34"/>
  <c r="S1199" i="34"/>
  <c r="T1199" i="34"/>
  <c r="V1199" i="34"/>
  <c r="W1199" i="34"/>
  <c r="X1199" i="34"/>
  <c r="N1200" i="34"/>
  <c r="P1200" i="34"/>
  <c r="Q1200" i="34"/>
  <c r="S1200" i="34"/>
  <c r="T1200" i="34"/>
  <c r="V1200" i="34"/>
  <c r="W1200" i="34"/>
  <c r="X1200" i="34"/>
  <c r="N1201" i="34"/>
  <c r="P1201" i="34"/>
  <c r="Q1201" i="34"/>
  <c r="S1201" i="34"/>
  <c r="T1201" i="34"/>
  <c r="V1201" i="34"/>
  <c r="W1201" i="34"/>
  <c r="X1201" i="34"/>
  <c r="N1202" i="34"/>
  <c r="P1202" i="34"/>
  <c r="Q1202" i="34"/>
  <c r="S1202" i="34"/>
  <c r="T1202" i="34"/>
  <c r="V1202" i="34"/>
  <c r="W1202" i="34"/>
  <c r="X1202" i="34"/>
  <c r="N1203" i="34"/>
  <c r="P1203" i="34"/>
  <c r="Q1203" i="34"/>
  <c r="S1203" i="34"/>
  <c r="T1203" i="34"/>
  <c r="V1203" i="34"/>
  <c r="W1203" i="34"/>
  <c r="X1203" i="34"/>
  <c r="N1204" i="34"/>
  <c r="S1204" i="34"/>
  <c r="T1204" i="34"/>
  <c r="V1204" i="34"/>
  <c r="W1204" i="34"/>
  <c r="X1204" i="34"/>
  <c r="N1205" i="34"/>
  <c r="P1205" i="34"/>
  <c r="Q1205" i="34"/>
  <c r="S1205" i="34"/>
  <c r="T1205" i="34"/>
  <c r="V1205" i="34"/>
  <c r="W1205" i="34"/>
  <c r="X1205" i="34"/>
  <c r="N1206" i="34"/>
  <c r="P1206" i="34"/>
  <c r="Q1206" i="34"/>
  <c r="S1206" i="34"/>
  <c r="T1206" i="34"/>
  <c r="V1206" i="34"/>
  <c r="W1206" i="34"/>
  <c r="X1206" i="34"/>
  <c r="N1207" i="34"/>
  <c r="P1207" i="34"/>
  <c r="Q1207" i="34"/>
  <c r="S1207" i="34"/>
  <c r="T1207" i="34"/>
  <c r="V1207" i="34"/>
  <c r="W1207" i="34"/>
  <c r="X1207" i="34"/>
  <c r="N1208" i="34"/>
  <c r="S1208" i="34"/>
  <c r="T1208" i="34"/>
  <c r="V1208" i="34"/>
  <c r="W1208" i="34"/>
  <c r="X1208" i="34"/>
  <c r="N1209" i="34"/>
  <c r="P1209" i="34"/>
  <c r="Q1209" i="34"/>
  <c r="S1209" i="34"/>
  <c r="T1209" i="34"/>
  <c r="V1209" i="34"/>
  <c r="W1209" i="34"/>
  <c r="X1209" i="34"/>
  <c r="N1210" i="34"/>
  <c r="S1210" i="34"/>
  <c r="T1210" i="34"/>
  <c r="V1210" i="34"/>
  <c r="W1210" i="34"/>
  <c r="X1210" i="34"/>
  <c r="N1211" i="34"/>
  <c r="P1211" i="34"/>
  <c r="S1211" i="34"/>
  <c r="T1211" i="34"/>
  <c r="V1211" i="34"/>
  <c r="W1211" i="34"/>
  <c r="X1211" i="34"/>
  <c r="N1212" i="34"/>
  <c r="P1212" i="34"/>
  <c r="Q1212" i="34"/>
  <c r="S1212" i="34"/>
  <c r="T1212" i="34"/>
  <c r="V1212" i="34"/>
  <c r="W1212" i="34"/>
  <c r="X1212" i="34"/>
  <c r="N1213" i="34"/>
  <c r="P1213" i="34"/>
  <c r="Q1213" i="34"/>
  <c r="S1213" i="34"/>
  <c r="T1213" i="34"/>
  <c r="V1213" i="34"/>
  <c r="W1213" i="34"/>
  <c r="X1213" i="34"/>
  <c r="N1214" i="34"/>
  <c r="P1214" i="34"/>
  <c r="Q1214" i="34"/>
  <c r="S1214" i="34"/>
  <c r="T1214" i="34"/>
  <c r="V1214" i="34"/>
  <c r="W1214" i="34"/>
  <c r="X1214" i="34"/>
  <c r="N1215" i="34"/>
  <c r="P1215" i="34"/>
  <c r="Q1215" i="34"/>
  <c r="S1215" i="34"/>
  <c r="T1215" i="34"/>
  <c r="V1215" i="34"/>
  <c r="W1215" i="34"/>
  <c r="X1215" i="34"/>
  <c r="N1216" i="34"/>
  <c r="S1216" i="34"/>
  <c r="T1216" i="34"/>
  <c r="V1216" i="34"/>
  <c r="W1216" i="34"/>
  <c r="X1216" i="34"/>
  <c r="N1217" i="34"/>
  <c r="P1217" i="34"/>
  <c r="Q1217" i="34"/>
  <c r="S1217" i="34"/>
  <c r="T1217" i="34"/>
  <c r="V1217" i="34"/>
  <c r="W1217" i="34"/>
  <c r="X1217" i="34"/>
  <c r="N1218" i="34"/>
  <c r="S1218" i="34"/>
  <c r="T1218" i="34"/>
  <c r="V1218" i="34"/>
  <c r="W1218" i="34"/>
  <c r="X1218" i="34"/>
  <c r="N1219" i="34"/>
  <c r="P1219" i="34"/>
  <c r="S1219" i="34"/>
  <c r="T1219" i="34"/>
  <c r="V1219" i="34"/>
  <c r="W1219" i="34"/>
  <c r="X1219" i="34"/>
  <c r="N1220" i="34"/>
  <c r="P1220" i="34"/>
  <c r="Q1220" i="34"/>
  <c r="S1220" i="34"/>
  <c r="T1220" i="34"/>
  <c r="V1220" i="34"/>
  <c r="W1220" i="34"/>
  <c r="X1220" i="34"/>
  <c r="N1221" i="34"/>
  <c r="P1221" i="34"/>
  <c r="Q1221" i="34"/>
  <c r="S1221" i="34"/>
  <c r="T1221" i="34"/>
  <c r="V1221" i="34"/>
  <c r="W1221" i="34"/>
  <c r="X1221" i="34"/>
  <c r="N1222" i="34"/>
  <c r="P1222" i="34"/>
  <c r="Q1222" i="34"/>
  <c r="S1222" i="34"/>
  <c r="T1222" i="34"/>
  <c r="V1222" i="34"/>
  <c r="W1222" i="34"/>
  <c r="X1222" i="34"/>
  <c r="N1223" i="34"/>
  <c r="P1223" i="34"/>
  <c r="Q1223" i="34"/>
  <c r="S1223" i="34"/>
  <c r="T1223" i="34"/>
  <c r="V1223" i="34"/>
  <c r="W1223" i="34"/>
  <c r="X1223" i="34"/>
  <c r="N1224" i="34"/>
  <c r="S1224" i="34"/>
  <c r="T1224" i="34"/>
  <c r="V1224" i="34"/>
  <c r="W1224" i="34"/>
  <c r="X1224" i="34"/>
  <c r="N1225" i="34"/>
  <c r="P1225" i="34"/>
  <c r="Q1225" i="34"/>
  <c r="S1225" i="34"/>
  <c r="T1225" i="34"/>
  <c r="V1225" i="34"/>
  <c r="W1225" i="34"/>
  <c r="X1225" i="34"/>
  <c r="N1226" i="34"/>
  <c r="S1226" i="34"/>
  <c r="T1226" i="34"/>
  <c r="V1226" i="34"/>
  <c r="W1226" i="34"/>
  <c r="X1226" i="34"/>
  <c r="N1227" i="34"/>
  <c r="P1227" i="34"/>
  <c r="S1227" i="34"/>
  <c r="T1227" i="34"/>
  <c r="V1227" i="34"/>
  <c r="W1227" i="34"/>
  <c r="X1227" i="34"/>
  <c r="N1228" i="34"/>
  <c r="P1228" i="34"/>
  <c r="Q1228" i="34"/>
  <c r="S1228" i="34"/>
  <c r="T1228" i="34"/>
  <c r="V1228" i="34"/>
  <c r="W1228" i="34"/>
  <c r="X1228" i="34"/>
  <c r="N1229" i="34"/>
  <c r="P1229" i="34"/>
  <c r="Q1229" i="34"/>
  <c r="S1229" i="34"/>
  <c r="T1229" i="34"/>
  <c r="V1229" i="34"/>
  <c r="W1229" i="34"/>
  <c r="X1229" i="34"/>
  <c r="N1230" i="34"/>
  <c r="P1230" i="34"/>
  <c r="Q1230" i="34"/>
  <c r="S1230" i="34"/>
  <c r="T1230" i="34"/>
  <c r="V1230" i="34"/>
  <c r="W1230" i="34"/>
  <c r="X1230" i="34"/>
  <c r="N1231" i="34"/>
  <c r="P1231" i="34"/>
  <c r="Q1231" i="34"/>
  <c r="S1231" i="34"/>
  <c r="T1231" i="34"/>
  <c r="V1231" i="34"/>
  <c r="W1231" i="34"/>
  <c r="X1231" i="34"/>
  <c r="N1232" i="34"/>
  <c r="P1232" i="34"/>
  <c r="Q1232" i="34"/>
  <c r="S1232" i="34"/>
  <c r="T1232" i="34"/>
  <c r="V1232" i="34"/>
  <c r="W1232" i="34"/>
  <c r="X1232" i="34"/>
  <c r="N1233" i="34"/>
  <c r="P1233" i="34"/>
  <c r="Q1233" i="34"/>
  <c r="S1233" i="34"/>
  <c r="T1233" i="34"/>
  <c r="V1233" i="34"/>
  <c r="W1233" i="34"/>
  <c r="X1233" i="34"/>
  <c r="N1234" i="34"/>
  <c r="S1234" i="34"/>
  <c r="T1234" i="34"/>
  <c r="V1234" i="34"/>
  <c r="W1234" i="34"/>
  <c r="X1234" i="34"/>
  <c r="N1235" i="34"/>
  <c r="P1235" i="34"/>
  <c r="Q1235" i="34"/>
  <c r="S1235" i="34"/>
  <c r="T1235" i="34"/>
  <c r="V1235" i="34"/>
  <c r="W1235" i="34"/>
  <c r="X1235" i="34"/>
  <c r="N1236" i="34"/>
  <c r="P1236" i="34"/>
  <c r="Q1236" i="34"/>
  <c r="S1236" i="34"/>
  <c r="T1236" i="34"/>
  <c r="V1236" i="34"/>
  <c r="W1236" i="34"/>
  <c r="X1236" i="34"/>
  <c r="N1237" i="34"/>
  <c r="P1237" i="34"/>
  <c r="Q1237" i="34"/>
  <c r="S1237" i="34"/>
  <c r="T1237" i="34"/>
  <c r="V1237" i="34"/>
  <c r="W1237" i="34"/>
  <c r="X1237" i="34"/>
  <c r="N1238" i="34"/>
  <c r="S1238" i="34"/>
  <c r="T1238" i="34"/>
  <c r="V1238" i="34"/>
  <c r="W1238" i="34"/>
  <c r="X1238" i="34"/>
  <c r="N1239" i="34"/>
  <c r="P1239" i="34"/>
  <c r="Q1239" i="34"/>
  <c r="S1239" i="34"/>
  <c r="T1239" i="34"/>
  <c r="V1239" i="34"/>
  <c r="W1239" i="34"/>
  <c r="X1239" i="34"/>
  <c r="N1240" i="34"/>
  <c r="P1240" i="34"/>
  <c r="Q1240" i="34"/>
  <c r="S1240" i="34"/>
  <c r="T1240" i="34"/>
  <c r="V1240" i="34"/>
  <c r="W1240" i="34"/>
  <c r="X1240" i="34"/>
  <c r="N1241" i="34"/>
  <c r="P1241" i="34"/>
  <c r="Q1241" i="34"/>
  <c r="S1241" i="34"/>
  <c r="T1241" i="34"/>
  <c r="V1241" i="34"/>
  <c r="W1241" i="34"/>
  <c r="X1241" i="34"/>
  <c r="N1242" i="34"/>
  <c r="S1242" i="34"/>
  <c r="T1242" i="34"/>
  <c r="V1242" i="34"/>
  <c r="W1242" i="34"/>
  <c r="X1242" i="34"/>
  <c r="N1243" i="34"/>
  <c r="P1243" i="34"/>
  <c r="Q1243" i="34"/>
  <c r="S1243" i="34"/>
  <c r="T1243" i="34"/>
  <c r="V1243" i="34"/>
  <c r="W1243" i="34"/>
  <c r="X1243" i="34"/>
  <c r="N1244" i="34"/>
  <c r="P1244" i="34"/>
  <c r="Q1244" i="34"/>
  <c r="S1244" i="34"/>
  <c r="T1244" i="34"/>
  <c r="V1244" i="34"/>
  <c r="W1244" i="34"/>
  <c r="X1244" i="34"/>
  <c r="N1245" i="34"/>
  <c r="P1245" i="34"/>
  <c r="Q1245" i="34"/>
  <c r="S1245" i="34"/>
  <c r="T1245" i="34"/>
  <c r="V1245" i="34"/>
  <c r="W1245" i="34"/>
  <c r="X1245" i="34"/>
  <c r="N1246" i="34"/>
  <c r="P1246" i="34"/>
  <c r="Q1246" i="34"/>
  <c r="S1246" i="34"/>
  <c r="T1246" i="34"/>
  <c r="V1246" i="34"/>
  <c r="W1246" i="34"/>
  <c r="X1246" i="34"/>
  <c r="N1247" i="34"/>
  <c r="P1247" i="34"/>
  <c r="Q1247" i="34"/>
  <c r="S1247" i="34"/>
  <c r="T1247" i="34"/>
  <c r="V1247" i="34"/>
  <c r="W1247" i="34"/>
  <c r="X1247" i="34"/>
  <c r="N1248" i="34"/>
  <c r="P1248" i="34"/>
  <c r="Q1248" i="34"/>
  <c r="S1248" i="34"/>
  <c r="T1248" i="34"/>
  <c r="V1248" i="34"/>
  <c r="W1248" i="34"/>
  <c r="X1248" i="34"/>
  <c r="N1249" i="34"/>
  <c r="P1249" i="34"/>
  <c r="Q1249" i="34"/>
  <c r="S1249" i="34"/>
  <c r="T1249" i="34"/>
  <c r="V1249" i="34"/>
  <c r="W1249" i="34"/>
  <c r="X1249" i="34"/>
  <c r="N1250" i="34"/>
  <c r="P1250" i="34"/>
  <c r="Q1250" i="34"/>
  <c r="S1250" i="34"/>
  <c r="T1250" i="34"/>
  <c r="V1250" i="34"/>
  <c r="W1250" i="34"/>
  <c r="X1250" i="34"/>
  <c r="N1251" i="34"/>
  <c r="P1251" i="34"/>
  <c r="Q1251" i="34"/>
  <c r="S1251" i="34"/>
  <c r="T1251" i="34"/>
  <c r="V1251" i="34"/>
  <c r="W1251" i="34"/>
  <c r="X1251" i="34"/>
  <c r="N1252" i="34"/>
  <c r="P1252" i="34"/>
  <c r="Q1252" i="34"/>
  <c r="S1252" i="34"/>
  <c r="T1252" i="34"/>
  <c r="V1252" i="34"/>
  <c r="W1252" i="34"/>
  <c r="X1252" i="34"/>
  <c r="N1253" i="34"/>
  <c r="P1253" i="34"/>
  <c r="Q1253" i="34"/>
  <c r="S1253" i="34"/>
  <c r="T1253" i="34"/>
  <c r="V1253" i="34"/>
  <c r="W1253" i="34"/>
  <c r="X1253" i="34"/>
  <c r="N1254" i="34"/>
  <c r="P1254" i="34"/>
  <c r="Q1254" i="34"/>
  <c r="S1254" i="34"/>
  <c r="T1254" i="34"/>
  <c r="V1254" i="34"/>
  <c r="W1254" i="34"/>
  <c r="X1254" i="34"/>
  <c r="N1255" i="34"/>
  <c r="P1255" i="34"/>
  <c r="Q1255" i="34"/>
  <c r="S1255" i="34"/>
  <c r="T1255" i="34"/>
  <c r="V1255" i="34"/>
  <c r="W1255" i="34"/>
  <c r="X1255" i="34"/>
  <c r="N1256" i="34"/>
  <c r="P1256" i="34"/>
  <c r="Q1256" i="34"/>
  <c r="S1256" i="34"/>
  <c r="T1256" i="34"/>
  <c r="V1256" i="34"/>
  <c r="W1256" i="34"/>
  <c r="X1256" i="34"/>
  <c r="N1257" i="34"/>
  <c r="P1257" i="34"/>
  <c r="Q1257" i="34"/>
  <c r="S1257" i="34"/>
  <c r="T1257" i="34"/>
  <c r="V1257" i="34"/>
  <c r="W1257" i="34"/>
  <c r="X1257" i="34"/>
  <c r="N1258" i="34"/>
  <c r="P1258" i="34"/>
  <c r="Q1258" i="34"/>
  <c r="S1258" i="34"/>
  <c r="T1258" i="34"/>
  <c r="V1258" i="34"/>
  <c r="W1258" i="34"/>
  <c r="X1258" i="34"/>
  <c r="N1259" i="34"/>
  <c r="P1259" i="34"/>
  <c r="Q1259" i="34"/>
  <c r="S1259" i="34"/>
  <c r="T1259" i="34"/>
  <c r="V1259" i="34"/>
  <c r="W1259" i="34"/>
  <c r="X1259" i="34"/>
  <c r="N1260" i="34"/>
  <c r="P1260" i="34"/>
  <c r="Q1260" i="34"/>
  <c r="S1260" i="34"/>
  <c r="T1260" i="34"/>
  <c r="V1260" i="34"/>
  <c r="W1260" i="34"/>
  <c r="X1260" i="34"/>
  <c r="N1261" i="34"/>
  <c r="P1261" i="34"/>
  <c r="Q1261" i="34"/>
  <c r="S1261" i="34"/>
  <c r="T1261" i="34"/>
  <c r="V1261" i="34"/>
  <c r="W1261" i="34"/>
  <c r="X1261" i="34"/>
  <c r="N1262" i="34"/>
  <c r="P1262" i="34"/>
  <c r="Q1262" i="34"/>
  <c r="S1262" i="34"/>
  <c r="T1262" i="34"/>
  <c r="V1262" i="34"/>
  <c r="W1262" i="34"/>
  <c r="X1262" i="34"/>
  <c r="N1263" i="34"/>
  <c r="P1263" i="34"/>
  <c r="Q1263" i="34"/>
  <c r="S1263" i="34"/>
  <c r="T1263" i="34"/>
  <c r="V1263" i="34"/>
  <c r="W1263" i="34"/>
  <c r="X1263" i="34"/>
  <c r="N1264" i="34"/>
  <c r="P1264" i="34"/>
  <c r="Q1264" i="34"/>
  <c r="S1264" i="34"/>
  <c r="T1264" i="34"/>
  <c r="V1264" i="34"/>
  <c r="W1264" i="34"/>
  <c r="X1264" i="34"/>
  <c r="N1265" i="34"/>
  <c r="P1265" i="34"/>
  <c r="Q1265" i="34"/>
  <c r="S1265" i="34"/>
  <c r="T1265" i="34"/>
  <c r="V1265" i="34"/>
  <c r="W1265" i="34"/>
  <c r="X1265" i="34"/>
  <c r="N1266" i="34"/>
  <c r="P1266" i="34"/>
  <c r="Q1266" i="34"/>
  <c r="S1266" i="34"/>
  <c r="T1266" i="34"/>
  <c r="V1266" i="34"/>
  <c r="W1266" i="34"/>
  <c r="X1266" i="34"/>
  <c r="N1267" i="34"/>
  <c r="P1267" i="34"/>
  <c r="Q1267" i="34"/>
  <c r="S1267" i="34"/>
  <c r="T1267" i="34"/>
  <c r="V1267" i="34"/>
  <c r="W1267" i="34"/>
  <c r="X1267" i="34"/>
  <c r="N1268" i="34"/>
  <c r="P1268" i="34"/>
  <c r="Q1268" i="34"/>
  <c r="S1268" i="34"/>
  <c r="T1268" i="34"/>
  <c r="V1268" i="34"/>
  <c r="W1268" i="34"/>
  <c r="X1268" i="34"/>
  <c r="N1269" i="34"/>
  <c r="P1269" i="34"/>
  <c r="Q1269" i="34"/>
  <c r="S1269" i="34"/>
  <c r="T1269" i="34"/>
  <c r="V1269" i="34"/>
  <c r="W1269" i="34"/>
  <c r="X1269" i="34"/>
  <c r="N1270" i="34"/>
  <c r="P1270" i="34"/>
  <c r="Q1270" i="34"/>
  <c r="S1270" i="34"/>
  <c r="T1270" i="34"/>
  <c r="V1270" i="34"/>
  <c r="W1270" i="34"/>
  <c r="X1270" i="34"/>
  <c r="N1271" i="34"/>
  <c r="P1271" i="34"/>
  <c r="Q1271" i="34"/>
  <c r="S1271" i="34"/>
  <c r="T1271" i="34"/>
  <c r="V1271" i="34"/>
  <c r="W1271" i="34"/>
  <c r="X1271" i="34"/>
  <c r="N1272" i="34"/>
  <c r="P1272" i="34"/>
  <c r="Q1272" i="34"/>
  <c r="S1272" i="34"/>
  <c r="T1272" i="34"/>
  <c r="V1272" i="34"/>
  <c r="W1272" i="34"/>
  <c r="X1272" i="34"/>
  <c r="N1273" i="34"/>
  <c r="P1273" i="34"/>
  <c r="Q1273" i="34"/>
  <c r="S1273" i="34"/>
  <c r="T1273" i="34"/>
  <c r="V1273" i="34"/>
  <c r="W1273" i="34"/>
  <c r="X1273" i="34"/>
  <c r="N1274" i="34"/>
  <c r="P1274" i="34"/>
  <c r="Q1274" i="34"/>
  <c r="S1274" i="34"/>
  <c r="T1274" i="34"/>
  <c r="V1274" i="34"/>
  <c r="W1274" i="34"/>
  <c r="X1274" i="34"/>
  <c r="N1275" i="34"/>
  <c r="P1275" i="34"/>
  <c r="Q1275" i="34"/>
  <c r="S1275" i="34"/>
  <c r="T1275" i="34"/>
  <c r="V1275" i="34"/>
  <c r="W1275" i="34"/>
  <c r="X1275" i="34"/>
  <c r="N1276" i="34"/>
  <c r="P1276" i="34"/>
  <c r="Q1276" i="34"/>
  <c r="S1276" i="34"/>
  <c r="T1276" i="34"/>
  <c r="V1276" i="34"/>
  <c r="W1276" i="34"/>
  <c r="X1276" i="34"/>
  <c r="N1277" i="34"/>
  <c r="P1277" i="34"/>
  <c r="Q1277" i="34"/>
  <c r="S1277" i="34"/>
  <c r="T1277" i="34"/>
  <c r="V1277" i="34"/>
  <c r="W1277" i="34"/>
  <c r="X1277" i="34"/>
  <c r="N1278" i="34"/>
  <c r="P1278" i="34"/>
  <c r="Q1278" i="34"/>
  <c r="S1278" i="34"/>
  <c r="T1278" i="34"/>
  <c r="V1278" i="34"/>
  <c r="W1278" i="34"/>
  <c r="X1278" i="34"/>
  <c r="N1279" i="34"/>
  <c r="P1279" i="34"/>
  <c r="Q1279" i="34"/>
  <c r="S1279" i="34"/>
  <c r="T1279" i="34"/>
  <c r="V1279" i="34"/>
  <c r="W1279" i="34"/>
  <c r="X1279" i="34"/>
  <c r="N1280" i="34"/>
  <c r="P1280" i="34"/>
  <c r="Q1280" i="34"/>
  <c r="S1280" i="34"/>
  <c r="T1280" i="34"/>
  <c r="V1280" i="34"/>
  <c r="W1280" i="34"/>
  <c r="X1280" i="34"/>
  <c r="N1281" i="34"/>
  <c r="P1281" i="34"/>
  <c r="Q1281" i="34"/>
  <c r="S1281" i="34"/>
  <c r="T1281" i="34"/>
  <c r="V1281" i="34"/>
  <c r="W1281" i="34"/>
  <c r="X1281" i="34"/>
  <c r="N1282" i="34"/>
  <c r="P1282" i="34"/>
  <c r="Q1282" i="34"/>
  <c r="S1282" i="34"/>
  <c r="T1282" i="34"/>
  <c r="V1282" i="34"/>
  <c r="W1282" i="34"/>
  <c r="X1282" i="34"/>
  <c r="N1283" i="34"/>
  <c r="P1283" i="34"/>
  <c r="Q1283" i="34"/>
  <c r="S1283" i="34"/>
  <c r="T1283" i="34"/>
  <c r="V1283" i="34"/>
  <c r="W1283" i="34"/>
  <c r="X1283" i="34"/>
  <c r="N1284" i="34"/>
  <c r="P1284" i="34"/>
  <c r="Q1284" i="34"/>
  <c r="S1284" i="34"/>
  <c r="T1284" i="34"/>
  <c r="V1284" i="34"/>
  <c r="W1284" i="34"/>
  <c r="X1284" i="34"/>
  <c r="N1285" i="34"/>
  <c r="P1285" i="34"/>
  <c r="Q1285" i="34"/>
  <c r="S1285" i="34"/>
  <c r="T1285" i="34"/>
  <c r="V1285" i="34"/>
  <c r="W1285" i="34"/>
  <c r="X1285" i="34"/>
  <c r="N1286" i="34"/>
  <c r="P1286" i="34"/>
  <c r="Q1286" i="34"/>
  <c r="S1286" i="34"/>
  <c r="T1286" i="34"/>
  <c r="V1286" i="34"/>
  <c r="W1286" i="34"/>
  <c r="X1286" i="34"/>
  <c r="N1287" i="34"/>
  <c r="P1287" i="34"/>
  <c r="Q1287" i="34"/>
  <c r="S1287" i="34"/>
  <c r="T1287" i="34"/>
  <c r="V1287" i="34"/>
  <c r="W1287" i="34"/>
  <c r="X1287" i="34"/>
  <c r="N1288" i="34"/>
  <c r="P1288" i="34"/>
  <c r="Q1288" i="34"/>
  <c r="S1288" i="34"/>
  <c r="T1288" i="34"/>
  <c r="V1288" i="34"/>
  <c r="W1288" i="34"/>
  <c r="X1288" i="34"/>
  <c r="N1289" i="34"/>
  <c r="P1289" i="34"/>
  <c r="Q1289" i="34"/>
  <c r="S1289" i="34"/>
  <c r="T1289" i="34"/>
  <c r="V1289" i="34"/>
  <c r="W1289" i="34"/>
  <c r="X1289" i="34"/>
  <c r="N1290" i="34"/>
  <c r="P1290" i="34"/>
  <c r="Q1290" i="34"/>
  <c r="S1290" i="34"/>
  <c r="T1290" i="34"/>
  <c r="V1290" i="34"/>
  <c r="W1290" i="34"/>
  <c r="X1290" i="34"/>
  <c r="N1291" i="34"/>
  <c r="P1291" i="34"/>
  <c r="Q1291" i="34"/>
  <c r="S1291" i="34"/>
  <c r="T1291" i="34"/>
  <c r="V1291" i="34"/>
  <c r="W1291" i="34"/>
  <c r="X1291" i="34"/>
  <c r="N1292" i="34"/>
  <c r="P1292" i="34"/>
  <c r="Q1292" i="34"/>
  <c r="S1292" i="34"/>
  <c r="T1292" i="34"/>
  <c r="V1292" i="34"/>
  <c r="W1292" i="34"/>
  <c r="X1292" i="34"/>
  <c r="N1293" i="34"/>
  <c r="P1293" i="34"/>
  <c r="Q1293" i="34"/>
  <c r="S1293" i="34"/>
  <c r="T1293" i="34"/>
  <c r="V1293" i="34"/>
  <c r="W1293" i="34"/>
  <c r="X1293" i="34"/>
  <c r="N1294" i="34"/>
  <c r="P1294" i="34"/>
  <c r="Q1294" i="34"/>
  <c r="S1294" i="34"/>
  <c r="T1294" i="34"/>
  <c r="V1294" i="34"/>
  <c r="W1294" i="34"/>
  <c r="X1294" i="34"/>
  <c r="N1295" i="34"/>
  <c r="P1295" i="34"/>
  <c r="Q1295" i="34"/>
  <c r="S1295" i="34"/>
  <c r="T1295" i="34"/>
  <c r="V1295" i="34"/>
  <c r="W1295" i="34"/>
  <c r="X1295" i="34"/>
  <c r="N1296" i="34"/>
  <c r="P1296" i="34"/>
  <c r="Q1296" i="34"/>
  <c r="S1296" i="34"/>
  <c r="T1296" i="34"/>
  <c r="V1296" i="34"/>
  <c r="W1296" i="34"/>
  <c r="X1296" i="34"/>
  <c r="N1297" i="34"/>
  <c r="P1297" i="34"/>
  <c r="Q1297" i="34"/>
  <c r="S1297" i="34"/>
  <c r="T1297" i="34"/>
  <c r="V1297" i="34"/>
  <c r="W1297" i="34"/>
  <c r="X1297" i="34"/>
  <c r="N1298" i="34"/>
  <c r="P1298" i="34"/>
  <c r="Q1298" i="34"/>
  <c r="S1298" i="34"/>
  <c r="T1298" i="34"/>
  <c r="V1298" i="34"/>
  <c r="W1298" i="34"/>
  <c r="X1298" i="34"/>
  <c r="N1299" i="34"/>
  <c r="P1299" i="34"/>
  <c r="Q1299" i="34"/>
  <c r="S1299" i="34"/>
  <c r="T1299" i="34"/>
  <c r="V1299" i="34"/>
  <c r="W1299" i="34"/>
  <c r="X1299" i="34"/>
  <c r="N1300" i="34"/>
  <c r="P1300" i="34"/>
  <c r="Q1300" i="34"/>
  <c r="S1300" i="34"/>
  <c r="T1300" i="34"/>
  <c r="V1300" i="34"/>
  <c r="W1300" i="34"/>
  <c r="X1300" i="34"/>
  <c r="N1301" i="34"/>
  <c r="P1301" i="34"/>
  <c r="Q1301" i="34"/>
  <c r="S1301" i="34"/>
  <c r="T1301" i="34"/>
  <c r="V1301" i="34"/>
  <c r="W1301" i="34"/>
  <c r="X1301" i="34"/>
  <c r="N1302" i="34"/>
  <c r="P1302" i="34"/>
  <c r="Q1302" i="34"/>
  <c r="S1302" i="34"/>
  <c r="T1302" i="34"/>
  <c r="V1302" i="34"/>
  <c r="W1302" i="34"/>
  <c r="X1302" i="34"/>
  <c r="N1303" i="34"/>
  <c r="P1303" i="34"/>
  <c r="Q1303" i="34"/>
  <c r="S1303" i="34"/>
  <c r="T1303" i="34"/>
  <c r="V1303" i="34"/>
  <c r="W1303" i="34"/>
  <c r="X1303" i="34"/>
  <c r="N1304" i="34"/>
  <c r="P1304" i="34"/>
  <c r="Q1304" i="34"/>
  <c r="S1304" i="34"/>
  <c r="T1304" i="34"/>
  <c r="V1304" i="34"/>
  <c r="W1304" i="34"/>
  <c r="X1304" i="34"/>
  <c r="N1305" i="34"/>
  <c r="S1305" i="34"/>
  <c r="T1305" i="34"/>
  <c r="V1305" i="34"/>
  <c r="W1305" i="34"/>
  <c r="X1305" i="34"/>
  <c r="N1306" i="34"/>
  <c r="S1306" i="34"/>
  <c r="T1306" i="34"/>
  <c r="V1306" i="34"/>
  <c r="W1306" i="34"/>
  <c r="X1306" i="34"/>
  <c r="N1307" i="34"/>
  <c r="S1307" i="34"/>
  <c r="T1307" i="34"/>
  <c r="V1307" i="34"/>
  <c r="W1307" i="34"/>
  <c r="X1307" i="34"/>
  <c r="N1308" i="34"/>
  <c r="P1308" i="34"/>
  <c r="Q1308" i="34"/>
  <c r="S1308" i="34"/>
  <c r="T1308" i="34"/>
  <c r="V1308" i="34"/>
  <c r="W1308" i="34"/>
  <c r="X1308" i="34"/>
  <c r="N1309" i="34"/>
  <c r="S1309" i="34"/>
  <c r="T1309" i="34"/>
  <c r="V1309" i="34"/>
  <c r="W1309" i="34"/>
  <c r="X1309" i="34"/>
  <c r="N1310" i="34"/>
  <c r="S1310" i="34"/>
  <c r="T1310" i="34"/>
  <c r="V1310" i="34"/>
  <c r="W1310" i="34"/>
  <c r="X1310" i="34"/>
  <c r="N1311" i="34"/>
  <c r="S1311" i="34"/>
  <c r="T1311" i="34"/>
  <c r="V1311" i="34"/>
  <c r="W1311" i="34"/>
  <c r="X1311" i="34"/>
  <c r="N1312" i="34"/>
  <c r="P1312" i="34"/>
  <c r="Q1312" i="34"/>
  <c r="S1312" i="34"/>
  <c r="T1312" i="34"/>
  <c r="V1312" i="34"/>
  <c r="W1312" i="34"/>
  <c r="X1312" i="34"/>
  <c r="N1313" i="34"/>
  <c r="S1313" i="34"/>
  <c r="T1313" i="34"/>
  <c r="V1313" i="34"/>
  <c r="W1313" i="34"/>
  <c r="X1313" i="34"/>
  <c r="N1314" i="34"/>
  <c r="S1314" i="34"/>
  <c r="T1314" i="34"/>
  <c r="V1314" i="34"/>
  <c r="W1314" i="34"/>
  <c r="X1314" i="34"/>
  <c r="N1315" i="34"/>
  <c r="S1315" i="34"/>
  <c r="T1315" i="34"/>
  <c r="V1315" i="34"/>
  <c r="W1315" i="34"/>
  <c r="X1315" i="34"/>
  <c r="N1316" i="34"/>
  <c r="P1316" i="34"/>
  <c r="Q1316" i="34"/>
  <c r="S1316" i="34"/>
  <c r="T1316" i="34"/>
  <c r="V1316" i="34"/>
  <c r="W1316" i="34"/>
  <c r="X1316" i="34"/>
  <c r="N1317" i="34"/>
  <c r="S1317" i="34"/>
  <c r="T1317" i="34"/>
  <c r="V1317" i="34"/>
  <c r="W1317" i="34"/>
  <c r="X1317" i="34"/>
  <c r="N1318" i="34"/>
  <c r="S1318" i="34"/>
  <c r="T1318" i="34"/>
  <c r="V1318" i="34"/>
  <c r="W1318" i="34"/>
  <c r="X1318" i="34"/>
  <c r="N1319" i="34"/>
  <c r="S1319" i="34"/>
  <c r="T1319" i="34"/>
  <c r="V1319" i="34"/>
  <c r="W1319" i="34"/>
  <c r="X1319" i="34"/>
  <c r="N1320" i="34"/>
  <c r="P1320" i="34"/>
  <c r="Q1320" i="34"/>
  <c r="S1320" i="34"/>
  <c r="T1320" i="34"/>
  <c r="V1320" i="34"/>
  <c r="W1320" i="34"/>
  <c r="X1320" i="34"/>
  <c r="N1321" i="34"/>
  <c r="S1321" i="34"/>
  <c r="T1321" i="34"/>
  <c r="V1321" i="34"/>
  <c r="W1321" i="34"/>
  <c r="X1321" i="34"/>
  <c r="N1322" i="34"/>
  <c r="S1322" i="34"/>
  <c r="T1322" i="34"/>
  <c r="V1322" i="34"/>
  <c r="W1322" i="34"/>
  <c r="X1322" i="34"/>
  <c r="N1323" i="34"/>
  <c r="S1323" i="34"/>
  <c r="T1323" i="34"/>
  <c r="V1323" i="34"/>
  <c r="W1323" i="34"/>
  <c r="X1323" i="34"/>
  <c r="N1324" i="34"/>
  <c r="P1324" i="34"/>
  <c r="Q1324" i="34"/>
  <c r="S1324" i="34"/>
  <c r="T1324" i="34"/>
  <c r="V1324" i="34"/>
  <c r="W1324" i="34"/>
  <c r="X1324" i="34"/>
  <c r="N1325" i="34"/>
  <c r="S1325" i="34"/>
  <c r="T1325" i="34"/>
  <c r="V1325" i="34"/>
  <c r="W1325" i="34"/>
  <c r="X1325" i="34"/>
  <c r="N1326" i="34"/>
  <c r="P1326" i="34"/>
  <c r="Q1326" i="34"/>
  <c r="S1326" i="34"/>
  <c r="T1326" i="34"/>
  <c r="V1326" i="34"/>
  <c r="W1326" i="34"/>
  <c r="X1326" i="34"/>
  <c r="N1327" i="34"/>
  <c r="S1327" i="34"/>
  <c r="T1327" i="34"/>
  <c r="V1327" i="34"/>
  <c r="W1327" i="34"/>
  <c r="X1327" i="34"/>
  <c r="N1328" i="34"/>
  <c r="P1328" i="34"/>
  <c r="Q1328" i="34"/>
  <c r="S1328" i="34"/>
  <c r="T1328" i="34"/>
  <c r="V1328" i="34"/>
  <c r="W1328" i="34"/>
  <c r="X1328" i="34"/>
  <c r="N1329" i="34"/>
  <c r="S1329" i="34"/>
  <c r="T1329" i="34"/>
  <c r="V1329" i="34"/>
  <c r="W1329" i="34"/>
  <c r="X1329" i="34"/>
  <c r="N1330" i="34"/>
  <c r="S1330" i="34"/>
  <c r="T1330" i="34"/>
  <c r="V1330" i="34"/>
  <c r="W1330" i="34"/>
  <c r="X1330" i="34"/>
  <c r="N1331" i="34"/>
  <c r="S1331" i="34"/>
  <c r="T1331" i="34"/>
  <c r="V1331" i="34"/>
  <c r="W1331" i="34"/>
  <c r="X1331" i="34"/>
  <c r="N1332" i="34"/>
  <c r="P1332" i="34"/>
  <c r="Q1332" i="34"/>
  <c r="S1332" i="34"/>
  <c r="T1332" i="34"/>
  <c r="V1332" i="34"/>
  <c r="W1332" i="34"/>
  <c r="X1332" i="34"/>
  <c r="N1333" i="34"/>
  <c r="S1333" i="34"/>
  <c r="T1333" i="34"/>
  <c r="V1333" i="34"/>
  <c r="W1333" i="34"/>
  <c r="X1333" i="34"/>
  <c r="N1334" i="34"/>
  <c r="S1334" i="34"/>
  <c r="T1334" i="34"/>
  <c r="V1334" i="34"/>
  <c r="W1334" i="34"/>
  <c r="X1334" i="34"/>
  <c r="N1335" i="34"/>
  <c r="S1335" i="34"/>
  <c r="T1335" i="34"/>
  <c r="V1335" i="34"/>
  <c r="W1335" i="34"/>
  <c r="X1335" i="34"/>
  <c r="N1336" i="34"/>
  <c r="P1336" i="34"/>
  <c r="Q1336" i="34"/>
  <c r="S1336" i="34"/>
  <c r="T1336" i="34"/>
  <c r="V1336" i="34"/>
  <c r="W1336" i="34"/>
  <c r="X1336" i="34"/>
  <c r="N1337" i="34"/>
  <c r="P1337" i="34"/>
  <c r="Q1337" i="34"/>
  <c r="S1337" i="34"/>
  <c r="T1337" i="34"/>
  <c r="V1337" i="34"/>
  <c r="W1337" i="34"/>
  <c r="X1337" i="34"/>
  <c r="N1338" i="34"/>
  <c r="S1338" i="34"/>
  <c r="T1338" i="34"/>
  <c r="V1338" i="34"/>
  <c r="W1338" i="34"/>
  <c r="X1338" i="34"/>
  <c r="N1339" i="34"/>
  <c r="S1339" i="34"/>
  <c r="T1339" i="34"/>
  <c r="V1339" i="34"/>
  <c r="W1339" i="34"/>
  <c r="X1339" i="34"/>
  <c r="N1340" i="34"/>
  <c r="P1340" i="34"/>
  <c r="Q1340" i="34"/>
  <c r="S1340" i="34"/>
  <c r="T1340" i="34"/>
  <c r="V1340" i="34"/>
  <c r="W1340" i="34"/>
  <c r="X1340" i="34"/>
  <c r="N1341" i="34"/>
  <c r="P1341" i="34"/>
  <c r="Q1341" i="34"/>
  <c r="S1341" i="34"/>
  <c r="T1341" i="34"/>
  <c r="V1341" i="34"/>
  <c r="W1341" i="34"/>
  <c r="X1341" i="34"/>
  <c r="N1342" i="34"/>
  <c r="S1342" i="34"/>
  <c r="T1342" i="34"/>
  <c r="V1342" i="34"/>
  <c r="W1342" i="34"/>
  <c r="X1342" i="34"/>
  <c r="N1343" i="34"/>
  <c r="S1343" i="34"/>
  <c r="T1343" i="34"/>
  <c r="V1343" i="34"/>
  <c r="W1343" i="34"/>
  <c r="X1343" i="34"/>
  <c r="N1344" i="34"/>
  <c r="P1344" i="34"/>
  <c r="Q1344" i="34"/>
  <c r="S1344" i="34"/>
  <c r="T1344" i="34"/>
  <c r="V1344" i="34"/>
  <c r="W1344" i="34"/>
  <c r="X1344" i="34"/>
  <c r="N1345" i="34"/>
  <c r="S1345" i="34"/>
  <c r="T1345" i="34"/>
  <c r="V1345" i="34"/>
  <c r="W1345" i="34"/>
  <c r="X1345" i="34"/>
  <c r="N1346" i="34"/>
  <c r="S1346" i="34"/>
  <c r="T1346" i="34"/>
  <c r="V1346" i="34"/>
  <c r="W1346" i="34"/>
  <c r="X1346" i="34"/>
  <c r="N1347" i="34"/>
  <c r="S1347" i="34"/>
  <c r="T1347" i="34"/>
  <c r="V1347" i="34"/>
  <c r="W1347" i="34"/>
  <c r="X1347" i="34"/>
  <c r="N1348" i="34"/>
  <c r="P1348" i="34"/>
  <c r="Q1348" i="34"/>
  <c r="S1348" i="34"/>
  <c r="T1348" i="34"/>
  <c r="V1348" i="34"/>
  <c r="W1348" i="34"/>
  <c r="X1348" i="34"/>
  <c r="N1349" i="34"/>
  <c r="S1349" i="34"/>
  <c r="T1349" i="34"/>
  <c r="V1349" i="34"/>
  <c r="W1349" i="34"/>
  <c r="X1349" i="34"/>
  <c r="N1350" i="34"/>
  <c r="S1350" i="34"/>
  <c r="T1350" i="34"/>
  <c r="V1350" i="34"/>
  <c r="W1350" i="34"/>
  <c r="X1350" i="34"/>
  <c r="N1351" i="34"/>
  <c r="S1351" i="34"/>
  <c r="T1351" i="34"/>
  <c r="V1351" i="34"/>
  <c r="W1351" i="34"/>
  <c r="X1351" i="34"/>
  <c r="N1352" i="34"/>
  <c r="P1352" i="34"/>
  <c r="Q1352" i="34"/>
  <c r="S1352" i="34"/>
  <c r="T1352" i="34"/>
  <c r="V1352" i="34"/>
  <c r="W1352" i="34"/>
  <c r="X1352" i="34"/>
  <c r="N1353" i="34"/>
  <c r="P1353" i="34"/>
  <c r="Q1353" i="34"/>
  <c r="S1353" i="34"/>
  <c r="T1353" i="34"/>
  <c r="V1353" i="34"/>
  <c r="W1353" i="34"/>
  <c r="X1353" i="34"/>
  <c r="N1354" i="34"/>
  <c r="S1354" i="34"/>
  <c r="T1354" i="34"/>
  <c r="V1354" i="34"/>
  <c r="W1354" i="34"/>
  <c r="X1354" i="34"/>
  <c r="N1355" i="34"/>
  <c r="S1355" i="34"/>
  <c r="T1355" i="34"/>
  <c r="V1355" i="34"/>
  <c r="W1355" i="34"/>
  <c r="X1355" i="34"/>
  <c r="N1356" i="34"/>
  <c r="P1356" i="34"/>
  <c r="Q1356" i="34"/>
  <c r="S1356" i="34"/>
  <c r="T1356" i="34"/>
  <c r="V1356" i="34"/>
  <c r="W1356" i="34"/>
  <c r="X1356" i="34"/>
  <c r="N1357" i="34"/>
  <c r="S1357" i="34"/>
  <c r="T1357" i="34"/>
  <c r="V1357" i="34"/>
  <c r="W1357" i="34"/>
  <c r="X1357" i="34"/>
  <c r="N1358" i="34"/>
  <c r="P1358" i="34"/>
  <c r="Q1358" i="34"/>
  <c r="S1358" i="34"/>
  <c r="T1358" i="34"/>
  <c r="V1358" i="34"/>
  <c r="W1358" i="34"/>
  <c r="X1358" i="34"/>
  <c r="N1359" i="34"/>
  <c r="S1359" i="34"/>
  <c r="T1359" i="34"/>
  <c r="V1359" i="34"/>
  <c r="W1359" i="34"/>
  <c r="X1359" i="34"/>
  <c r="N1360" i="34"/>
  <c r="P1360" i="34"/>
  <c r="Q1360" i="34"/>
  <c r="S1360" i="34"/>
  <c r="T1360" i="34"/>
  <c r="V1360" i="34"/>
  <c r="W1360" i="34"/>
  <c r="X1360" i="34"/>
  <c r="N1361" i="34"/>
  <c r="P1361" i="34"/>
  <c r="Q1361" i="34"/>
  <c r="S1361" i="34"/>
  <c r="T1361" i="34"/>
  <c r="V1361" i="34"/>
  <c r="W1361" i="34"/>
  <c r="X1361" i="34"/>
  <c r="N1362" i="34"/>
  <c r="P1362" i="34"/>
  <c r="Q1362" i="34"/>
  <c r="S1362" i="34"/>
  <c r="T1362" i="34"/>
  <c r="V1362" i="34"/>
  <c r="W1362" i="34"/>
  <c r="X1362" i="34"/>
  <c r="N1363" i="34"/>
  <c r="S1363" i="34"/>
  <c r="T1363" i="34"/>
  <c r="V1363" i="34"/>
  <c r="W1363" i="34"/>
  <c r="X1363" i="34"/>
  <c r="N1364" i="34"/>
  <c r="P1364" i="34"/>
  <c r="Q1364" i="34"/>
  <c r="S1364" i="34"/>
  <c r="T1364" i="34"/>
  <c r="V1364" i="34"/>
  <c r="W1364" i="34"/>
  <c r="X1364" i="34"/>
  <c r="N1365" i="34"/>
  <c r="P1365" i="34"/>
  <c r="Q1365" i="34"/>
  <c r="S1365" i="34"/>
  <c r="T1365" i="34"/>
  <c r="V1365" i="34"/>
  <c r="W1365" i="34"/>
  <c r="X1365" i="34"/>
  <c r="N1366" i="34"/>
  <c r="P1366" i="34"/>
  <c r="Q1366" i="34"/>
  <c r="S1366" i="34"/>
  <c r="T1366" i="34"/>
  <c r="V1366" i="34"/>
  <c r="W1366" i="34"/>
  <c r="X1366" i="34"/>
  <c r="N1367" i="34"/>
  <c r="S1367" i="34"/>
  <c r="T1367" i="34"/>
  <c r="V1367" i="34"/>
  <c r="W1367" i="34"/>
  <c r="X1367" i="34"/>
  <c r="N1368" i="34"/>
  <c r="P1368" i="34"/>
  <c r="Q1368" i="34"/>
  <c r="S1368" i="34"/>
  <c r="T1368" i="34"/>
  <c r="V1368" i="34"/>
  <c r="W1368" i="34"/>
  <c r="X1368" i="34"/>
  <c r="N1369" i="34"/>
  <c r="P1369" i="34"/>
  <c r="Q1369" i="34"/>
  <c r="S1369" i="34"/>
  <c r="T1369" i="34"/>
  <c r="V1369" i="34"/>
  <c r="W1369" i="34"/>
  <c r="X1369" i="34"/>
  <c r="N1370" i="34"/>
  <c r="P1370" i="34"/>
  <c r="Q1370" i="34"/>
  <c r="S1370" i="34"/>
  <c r="T1370" i="34"/>
  <c r="V1370" i="34"/>
  <c r="W1370" i="34"/>
  <c r="X1370" i="34"/>
  <c r="N1371" i="34"/>
  <c r="S1371" i="34"/>
  <c r="T1371" i="34"/>
  <c r="V1371" i="34"/>
  <c r="W1371" i="34"/>
  <c r="X1371" i="34"/>
  <c r="N1372" i="34"/>
  <c r="P1372" i="34"/>
  <c r="Q1372" i="34"/>
  <c r="S1372" i="34"/>
  <c r="T1372" i="34"/>
  <c r="V1372" i="34"/>
  <c r="W1372" i="34"/>
  <c r="X1372" i="34"/>
  <c r="N1373" i="34"/>
  <c r="P1373" i="34"/>
  <c r="Q1373" i="34"/>
  <c r="S1373" i="34"/>
  <c r="T1373" i="34"/>
  <c r="V1373" i="34"/>
  <c r="W1373" i="34"/>
  <c r="X1373" i="34"/>
  <c r="N1374" i="34"/>
  <c r="S1374" i="34"/>
  <c r="T1374" i="34"/>
  <c r="V1374" i="34"/>
  <c r="W1374" i="34"/>
  <c r="X1374" i="34"/>
  <c r="N1375" i="34"/>
  <c r="S1375" i="34"/>
  <c r="T1375" i="34"/>
  <c r="V1375" i="34"/>
  <c r="W1375" i="34"/>
  <c r="X1375" i="34"/>
  <c r="N1376" i="34"/>
  <c r="P1376" i="34"/>
  <c r="Q1376" i="34"/>
  <c r="S1376" i="34"/>
  <c r="T1376" i="34"/>
  <c r="V1376" i="34"/>
  <c r="W1376" i="34"/>
  <c r="X1376" i="34"/>
  <c r="N1377" i="34"/>
  <c r="S1377" i="34"/>
  <c r="T1377" i="34"/>
  <c r="V1377" i="34"/>
  <c r="W1377" i="34"/>
  <c r="X1377" i="34"/>
  <c r="N1378" i="34"/>
  <c r="S1378" i="34"/>
  <c r="T1378" i="34"/>
  <c r="V1378" i="34"/>
  <c r="W1378" i="34"/>
  <c r="X1378" i="34"/>
  <c r="N1379" i="34"/>
  <c r="S1379" i="34"/>
  <c r="T1379" i="34"/>
  <c r="V1379" i="34"/>
  <c r="W1379" i="34"/>
  <c r="X1379" i="34"/>
  <c r="N1380" i="34"/>
  <c r="P1380" i="34"/>
  <c r="Q1380" i="34"/>
  <c r="S1380" i="34"/>
  <c r="T1380" i="34"/>
  <c r="V1380" i="34"/>
  <c r="W1380" i="34"/>
  <c r="X1380" i="34"/>
  <c r="N1381" i="34"/>
  <c r="S1381" i="34"/>
  <c r="T1381" i="34"/>
  <c r="V1381" i="34"/>
  <c r="W1381" i="34"/>
  <c r="X1381" i="34"/>
  <c r="N1382" i="34"/>
  <c r="S1382" i="34"/>
  <c r="T1382" i="34"/>
  <c r="V1382" i="34"/>
  <c r="W1382" i="34"/>
  <c r="X1382" i="34"/>
  <c r="N1383" i="34"/>
  <c r="S1383" i="34"/>
  <c r="T1383" i="34"/>
  <c r="V1383" i="34"/>
  <c r="W1383" i="34"/>
  <c r="X1383" i="34"/>
  <c r="N1384" i="34"/>
  <c r="P1384" i="34"/>
  <c r="Q1384" i="34"/>
  <c r="S1384" i="34"/>
  <c r="T1384" i="34"/>
  <c r="V1384" i="34"/>
  <c r="W1384" i="34"/>
  <c r="X1384" i="34"/>
  <c r="N1385" i="34"/>
  <c r="P1385" i="34"/>
  <c r="Q1385" i="34"/>
  <c r="S1385" i="34"/>
  <c r="T1385" i="34"/>
  <c r="V1385" i="34"/>
  <c r="W1385" i="34"/>
  <c r="X1385" i="34"/>
  <c r="N1386" i="34"/>
  <c r="S1386" i="34"/>
  <c r="T1386" i="34"/>
  <c r="V1386" i="34"/>
  <c r="W1386" i="34"/>
  <c r="X1386" i="34"/>
  <c r="N1387" i="34"/>
  <c r="S1387" i="34"/>
  <c r="T1387" i="34"/>
  <c r="V1387" i="34"/>
  <c r="W1387" i="34"/>
  <c r="X1387" i="34"/>
  <c r="N1388" i="34"/>
  <c r="P1388" i="34"/>
  <c r="Q1388" i="34"/>
  <c r="S1388" i="34"/>
  <c r="T1388" i="34"/>
  <c r="V1388" i="34"/>
  <c r="W1388" i="34"/>
  <c r="X1388" i="34"/>
  <c r="N1389" i="34"/>
  <c r="P1389" i="34"/>
  <c r="Q1389" i="34"/>
  <c r="S1389" i="34"/>
  <c r="T1389" i="34"/>
  <c r="V1389" i="34"/>
  <c r="W1389" i="34"/>
  <c r="X1389" i="34"/>
  <c r="N1390" i="34"/>
  <c r="S1390" i="34"/>
  <c r="T1390" i="34"/>
  <c r="V1390" i="34"/>
  <c r="W1390" i="34"/>
  <c r="X1390" i="34"/>
  <c r="N1391" i="34"/>
  <c r="S1391" i="34"/>
  <c r="T1391" i="34"/>
  <c r="V1391" i="34"/>
  <c r="W1391" i="34"/>
  <c r="X1391" i="34"/>
  <c r="N1392" i="34"/>
  <c r="P1392" i="34"/>
  <c r="Q1392" i="34"/>
  <c r="S1392" i="34"/>
  <c r="T1392" i="34"/>
  <c r="V1392" i="34"/>
  <c r="W1392" i="34"/>
  <c r="X1392" i="34"/>
  <c r="N1393" i="34"/>
  <c r="P1393" i="34"/>
  <c r="Q1393" i="34"/>
  <c r="S1393" i="34"/>
  <c r="T1393" i="34"/>
  <c r="V1393" i="34"/>
  <c r="W1393" i="34"/>
  <c r="X1393" i="34"/>
  <c r="N1394" i="34"/>
  <c r="P1394" i="34"/>
  <c r="Q1394" i="34"/>
  <c r="S1394" i="34"/>
  <c r="T1394" i="34"/>
  <c r="V1394" i="34"/>
  <c r="W1394" i="34"/>
  <c r="X1394" i="34"/>
  <c r="N1395" i="34"/>
  <c r="P1395" i="34"/>
  <c r="Q1395" i="34"/>
  <c r="S1395" i="34"/>
  <c r="T1395" i="34"/>
  <c r="V1395" i="34"/>
  <c r="W1395" i="34"/>
  <c r="X1395" i="34"/>
  <c r="N1396" i="34"/>
  <c r="P1396" i="34"/>
  <c r="Q1396" i="34"/>
  <c r="S1396" i="34"/>
  <c r="T1396" i="34"/>
  <c r="V1396" i="34"/>
  <c r="W1396" i="34"/>
  <c r="X1396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8" i="34"/>
  <c r="A1312" i="34"/>
  <c r="A1316" i="34"/>
  <c r="A1320" i="34"/>
  <c r="A1324" i="34"/>
  <c r="A1326" i="34"/>
  <c r="A1328" i="34"/>
  <c r="A1332" i="34"/>
  <c r="A1336" i="34"/>
  <c r="A1337" i="34"/>
  <c r="A1340" i="34"/>
  <c r="A1341" i="34"/>
  <c r="A1343" i="34"/>
  <c r="A1344" i="34"/>
  <c r="A1347" i="34"/>
  <c r="A1348" i="34"/>
  <c r="A1351" i="34"/>
  <c r="A1352" i="34"/>
  <c r="A1353" i="34"/>
  <c r="A1355" i="34"/>
  <c r="A1356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5" i="34"/>
  <c r="A1376" i="34"/>
  <c r="A1379" i="34"/>
  <c r="A1380" i="34"/>
  <c r="A1383" i="34"/>
  <c r="A1384" i="34"/>
  <c r="A1385" i="34"/>
  <c r="A1387" i="34"/>
  <c r="A1388" i="34"/>
  <c r="A1389" i="34"/>
  <c r="A1391" i="34"/>
  <c r="A1392" i="34"/>
  <c r="A1393" i="34"/>
  <c r="A1394" i="34"/>
  <c r="A13" i="34"/>
  <c r="A14" i="34"/>
  <c r="A1395" i="34"/>
  <c r="A1396" i="34"/>
  <c r="A25" i="68"/>
  <c r="A26" i="68"/>
  <c r="A27" i="68"/>
  <c r="P14" i="64"/>
  <c r="P15" i="64"/>
  <c r="D21" i="68" s="1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C21" i="68"/>
  <c r="C22" i="68"/>
  <c r="C23" i="68"/>
  <c r="C24" i="68"/>
  <c r="B10" i="55"/>
  <c r="B11" i="55"/>
  <c r="B12" i="55"/>
  <c r="B9" i="55"/>
  <c r="X10" i="34"/>
  <c r="X12" i="34"/>
  <c r="X11" i="34"/>
  <c r="X13" i="34"/>
  <c r="K1390" i="34"/>
  <c r="K1389" i="34"/>
  <c r="K1388" i="34"/>
  <c r="K1387" i="34"/>
  <c r="K1386" i="34"/>
  <c r="K1385" i="34"/>
  <c r="K1384" i="34"/>
  <c r="K1133" i="34"/>
  <c r="K1132" i="34"/>
  <c r="K1131" i="34"/>
  <c r="K1130" i="34"/>
  <c r="K1129" i="34"/>
  <c r="K1128" i="34"/>
  <c r="K1127" i="34"/>
  <c r="H263" i="60"/>
  <c r="I263" i="60" s="1"/>
  <c r="H264" i="60"/>
  <c r="I264" i="60"/>
  <c r="H265" i="60"/>
  <c r="I265" i="60" s="1"/>
  <c r="H266" i="60"/>
  <c r="I266" i="60"/>
  <c r="H267" i="60"/>
  <c r="H268" i="60"/>
  <c r="I268" i="60"/>
  <c r="H269" i="60"/>
  <c r="I269" i="60" s="1"/>
  <c r="A263" i="60"/>
  <c r="A264" i="60"/>
  <c r="A265" i="60"/>
  <c r="A266" i="60"/>
  <c r="A267" i="60"/>
  <c r="A268" i="60"/>
  <c r="A269" i="60"/>
  <c r="A270" i="60"/>
  <c r="A271" i="60"/>
  <c r="K821" i="34"/>
  <c r="K820" i="34"/>
  <c r="K819" i="34"/>
  <c r="K818" i="34"/>
  <c r="K817" i="34"/>
  <c r="K816" i="34"/>
  <c r="A41" i="70"/>
  <c r="K815" i="34"/>
  <c r="K833" i="34"/>
  <c r="K598" i="34"/>
  <c r="K490" i="34"/>
  <c r="K526" i="34"/>
  <c r="A14" i="12"/>
  <c r="K524" i="34"/>
  <c r="K446" i="34"/>
  <c r="R12" i="60"/>
  <c r="R155" i="60"/>
  <c r="R156" i="60"/>
  <c r="R157" i="60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K874" i="34"/>
  <c r="K873" i="34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R151" i="60"/>
  <c r="R152" i="60"/>
  <c r="R153" i="60"/>
  <c r="R154" i="60"/>
  <c r="R148" i="60"/>
  <c r="R149" i="60"/>
  <c r="R150" i="60"/>
  <c r="R17" i="60"/>
  <c r="R18" i="60"/>
  <c r="R19" i="60"/>
  <c r="R20" i="60"/>
  <c r="K165" i="34"/>
  <c r="K458" i="34"/>
  <c r="K623" i="34"/>
  <c r="K274" i="34"/>
  <c r="K144" i="34"/>
  <c r="K284" i="34"/>
  <c r="K420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H15" i="60"/>
  <c r="I15" i="60" s="1"/>
  <c r="H16" i="60"/>
  <c r="I16" i="60"/>
  <c r="H17" i="60"/>
  <c r="H18" i="60"/>
  <c r="I18" i="60" s="1"/>
  <c r="H19" i="60"/>
  <c r="I19" i="60" s="1"/>
  <c r="H20" i="60"/>
  <c r="I20" i="60"/>
  <c r="H21" i="60"/>
  <c r="I21" i="60" s="1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 s="1"/>
  <c r="K319" i="34"/>
  <c r="K344" i="34"/>
  <c r="K354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I221" i="60" s="1"/>
  <c r="H220" i="60"/>
  <c r="I220" i="60" s="1"/>
  <c r="H219" i="60"/>
  <c r="I219" i="60" s="1"/>
  <c r="H218" i="60"/>
  <c r="H217" i="60"/>
  <c r="H216" i="60"/>
  <c r="I216" i="60" s="1"/>
  <c r="H215" i="60"/>
  <c r="H214" i="60"/>
  <c r="H213" i="60"/>
  <c r="H212" i="60"/>
  <c r="I212" i="60" s="1"/>
  <c r="H211" i="60"/>
  <c r="I211" i="60" s="1"/>
  <c r="H210" i="60"/>
  <c r="H209" i="60"/>
  <c r="H208" i="60"/>
  <c r="I208" i="60"/>
  <c r="H207" i="60"/>
  <c r="H206" i="60"/>
  <c r="H205" i="60"/>
  <c r="I205" i="60" s="1"/>
  <c r="H204" i="60"/>
  <c r="I204" i="60" s="1"/>
  <c r="H203" i="60"/>
  <c r="H202" i="60"/>
  <c r="I202" i="60" s="1"/>
  <c r="H201" i="60"/>
  <c r="I201" i="60" s="1"/>
  <c r="H200" i="60"/>
  <c r="H199" i="60"/>
  <c r="H198" i="60"/>
  <c r="H197" i="60"/>
  <c r="I197" i="60" s="1"/>
  <c r="H246" i="60"/>
  <c r="H245" i="60"/>
  <c r="H244" i="60"/>
  <c r="H243" i="60"/>
  <c r="H242" i="60"/>
  <c r="H241" i="60"/>
  <c r="H240" i="60"/>
  <c r="H239" i="60"/>
  <c r="I239" i="60" s="1"/>
  <c r="H238" i="60"/>
  <c r="H237" i="60"/>
  <c r="H236" i="60"/>
  <c r="H235" i="60"/>
  <c r="H234" i="60"/>
  <c r="I234" i="60" s="1"/>
  <c r="H233" i="60"/>
  <c r="H232" i="60"/>
  <c r="H231" i="60"/>
  <c r="H230" i="60"/>
  <c r="H229" i="60"/>
  <c r="H228" i="60"/>
  <c r="H227" i="60"/>
  <c r="H226" i="60"/>
  <c r="I226" i="60" s="1"/>
  <c r="H225" i="60"/>
  <c r="H224" i="60"/>
  <c r="H223" i="60"/>
  <c r="I223" i="60" s="1"/>
  <c r="H222" i="60"/>
  <c r="I222" i="60" s="1"/>
  <c r="H134" i="60"/>
  <c r="H135" i="60"/>
  <c r="H136" i="60"/>
  <c r="H137" i="60"/>
  <c r="H138" i="60"/>
  <c r="H139" i="60"/>
  <c r="I139" i="60" s="1"/>
  <c r="H140" i="60"/>
  <c r="I140" i="60" s="1"/>
  <c r="H141" i="60"/>
  <c r="I141" i="60" s="1"/>
  <c r="H142" i="60"/>
  <c r="H143" i="60"/>
  <c r="H144" i="60"/>
  <c r="I144" i="60" s="1"/>
  <c r="H145" i="60"/>
  <c r="I145" i="60" s="1"/>
  <c r="H146" i="60"/>
  <c r="H147" i="60"/>
  <c r="H148" i="60"/>
  <c r="I148" i="60" s="1"/>
  <c r="H149" i="60"/>
  <c r="H150" i="60"/>
  <c r="H151" i="60"/>
  <c r="H152" i="60"/>
  <c r="H153" i="60"/>
  <c r="H154" i="60"/>
  <c r="H155" i="60"/>
  <c r="H156" i="60"/>
  <c r="H157" i="60"/>
  <c r="H158" i="60"/>
  <c r="H159" i="60"/>
  <c r="I159" i="60" s="1"/>
  <c r="H160" i="60"/>
  <c r="I160" i="60" s="1"/>
  <c r="H161" i="60"/>
  <c r="H162" i="60"/>
  <c r="H163" i="60"/>
  <c r="H164" i="60"/>
  <c r="I164" i="60" s="1"/>
  <c r="H165" i="60"/>
  <c r="I165" i="60" s="1"/>
  <c r="H166" i="60"/>
  <c r="H167" i="60"/>
  <c r="H168" i="60"/>
  <c r="I168" i="60" s="1"/>
  <c r="H169" i="60"/>
  <c r="H170" i="60"/>
  <c r="H171" i="60"/>
  <c r="H172" i="60"/>
  <c r="H173" i="60"/>
  <c r="I173" i="60" s="1"/>
  <c r="H174" i="60"/>
  <c r="H175" i="60"/>
  <c r="H176" i="60"/>
  <c r="I176" i="60" s="1"/>
  <c r="H177" i="60"/>
  <c r="I177" i="60" s="1"/>
  <c r="H178" i="60"/>
  <c r="H179" i="60"/>
  <c r="I179" i="60" s="1"/>
  <c r="H180" i="60"/>
  <c r="I180" i="60" s="1"/>
  <c r="H181" i="60"/>
  <c r="I181" i="60" s="1"/>
  <c r="H182" i="60"/>
  <c r="H183" i="60"/>
  <c r="H184" i="60"/>
  <c r="H185" i="60"/>
  <c r="H186" i="60"/>
  <c r="H187" i="60"/>
  <c r="H188" i="60"/>
  <c r="I188" i="60" s="1"/>
  <c r="H189" i="60"/>
  <c r="I189" i="60" s="1"/>
  <c r="H190" i="60"/>
  <c r="H191" i="60"/>
  <c r="I191" i="60" s="1"/>
  <c r="H192" i="60"/>
  <c r="I192" i="60" s="1"/>
  <c r="H193" i="60"/>
  <c r="I193" i="60" s="1"/>
  <c r="H194" i="60"/>
  <c r="H195" i="60"/>
  <c r="H196" i="60"/>
  <c r="I196" i="60" s="1"/>
  <c r="H247" i="60"/>
  <c r="H248" i="60"/>
  <c r="H249" i="60"/>
  <c r="H250" i="60"/>
  <c r="H251" i="60"/>
  <c r="I251" i="60" s="1"/>
  <c r="H252" i="60"/>
  <c r="H253" i="60"/>
  <c r="H254" i="60"/>
  <c r="H255" i="60"/>
  <c r="I255" i="60" s="1"/>
  <c r="H256" i="60"/>
  <c r="H257" i="60"/>
  <c r="I257" i="60" s="1"/>
  <c r="H258" i="60"/>
  <c r="H259" i="60"/>
  <c r="H260" i="60"/>
  <c r="H261" i="60"/>
  <c r="H262" i="60"/>
  <c r="I262" i="60" s="1"/>
  <c r="H270" i="60"/>
  <c r="I270" i="60" s="1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18" i="60"/>
  <c r="I258" i="60"/>
  <c r="I184" i="60"/>
  <c r="I172" i="60"/>
  <c r="I156" i="60"/>
  <c r="I152" i="60"/>
  <c r="I136" i="60"/>
  <c r="I198" i="60"/>
  <c r="I271" i="60"/>
  <c r="I256" i="60"/>
  <c r="I190" i="60"/>
  <c r="I182" i="60"/>
  <c r="I174" i="60"/>
  <c r="I166" i="60"/>
  <c r="I158" i="60"/>
  <c r="I203" i="60"/>
  <c r="I210" i="60"/>
  <c r="I215" i="60"/>
  <c r="I261" i="60"/>
  <c r="I253" i="60"/>
  <c r="I249" i="60"/>
  <c r="I195" i="60"/>
  <c r="I147" i="60"/>
  <c r="I143" i="60"/>
  <c r="I199" i="60"/>
  <c r="I206" i="60"/>
  <c r="I209" i="60"/>
  <c r="I213" i="60"/>
  <c r="I248" i="60"/>
  <c r="I185" i="60"/>
  <c r="I163" i="60"/>
  <c r="I194" i="60"/>
  <c r="I187" i="60"/>
  <c r="I171" i="60"/>
  <c r="I155" i="60"/>
  <c r="I252" i="60"/>
  <c r="I224" i="60"/>
  <c r="I225" i="60"/>
  <c r="I227" i="60"/>
  <c r="I228" i="60"/>
  <c r="I229" i="60"/>
  <c r="I231" i="60"/>
  <c r="I232" i="60"/>
  <c r="I233" i="60"/>
  <c r="I235" i="60"/>
  <c r="I236" i="60"/>
  <c r="I237" i="60"/>
  <c r="I240" i="60"/>
  <c r="I241" i="60"/>
  <c r="I243" i="60"/>
  <c r="I244" i="60"/>
  <c r="I245" i="60"/>
  <c r="I254" i="60"/>
  <c r="I250" i="60"/>
  <c r="I146" i="60"/>
  <c r="I183" i="60"/>
  <c r="I175" i="60"/>
  <c r="I167" i="60"/>
  <c r="I151" i="60"/>
  <c r="I142" i="60"/>
  <c r="I135" i="60"/>
  <c r="I138" i="60"/>
  <c r="I150" i="60"/>
  <c r="I134" i="60"/>
  <c r="K793" i="34"/>
  <c r="K572" i="34"/>
  <c r="K826" i="34"/>
  <c r="K843" i="34"/>
  <c r="I835" i="34"/>
  <c r="K633" i="34"/>
  <c r="K703" i="34"/>
  <c r="K773" i="34"/>
  <c r="K808" i="34"/>
  <c r="K779" i="34"/>
  <c r="K786" i="34"/>
  <c r="K836" i="34"/>
  <c r="K835" i="34"/>
  <c r="K813" i="34"/>
  <c r="K806" i="34"/>
  <c r="K790" i="34"/>
  <c r="K783" i="34"/>
  <c r="K776" i="34"/>
  <c r="K768" i="34"/>
  <c r="A38" i="70"/>
  <c r="A39" i="70"/>
  <c r="A40" i="70"/>
  <c r="K763" i="34"/>
  <c r="K757" i="34"/>
  <c r="K754" i="34"/>
  <c r="I749" i="34"/>
  <c r="K749" i="34"/>
  <c r="I747" i="34"/>
  <c r="K747" i="34"/>
  <c r="K737" i="34"/>
  <c r="I739" i="34"/>
  <c r="K739" i="34"/>
  <c r="I736" i="34"/>
  <c r="K736" i="34" s="1"/>
  <c r="K744" i="34"/>
  <c r="K743" i="34"/>
  <c r="K742" i="34"/>
  <c r="K741" i="34"/>
  <c r="K738" i="34"/>
  <c r="K752" i="34"/>
  <c r="K751" i="34"/>
  <c r="K745" i="34"/>
  <c r="K766" i="34"/>
  <c r="K761" i="34"/>
  <c r="K760" i="34"/>
  <c r="K795" i="34"/>
  <c r="K731" i="34"/>
  <c r="K728" i="34"/>
  <c r="A33" i="70"/>
  <c r="A34" i="70"/>
  <c r="A35" i="70"/>
  <c r="A36" i="70"/>
  <c r="A37" i="70"/>
  <c r="I719" i="34"/>
  <c r="K719" i="34"/>
  <c r="K710" i="34"/>
  <c r="K700" i="34"/>
  <c r="K697" i="34"/>
  <c r="K681" i="34"/>
  <c r="K725" i="34"/>
  <c r="K723" i="34"/>
  <c r="K721" i="34"/>
  <c r="K726" i="34"/>
  <c r="K797" i="34"/>
  <c r="K802" i="34"/>
  <c r="K801" i="34"/>
  <c r="K800" i="34"/>
  <c r="K799" i="34"/>
  <c r="K798" i="34"/>
  <c r="K678" i="34"/>
  <c r="K495" i="34"/>
  <c r="K583" i="34"/>
  <c r="K541" i="34"/>
  <c r="K528" i="34"/>
  <c r="K501" i="34"/>
  <c r="K500" i="34"/>
  <c r="I690" i="34"/>
  <c r="K690" i="34" s="1"/>
  <c r="K658" i="34"/>
  <c r="K651" i="34"/>
  <c r="K648" i="34"/>
  <c r="K645" i="34"/>
  <c r="K676" i="34"/>
  <c r="K675" i="34"/>
  <c r="K695" i="34"/>
  <c r="K694" i="34"/>
  <c r="K693" i="34"/>
  <c r="K692" i="34"/>
  <c r="K689" i="34"/>
  <c r="K688" i="34"/>
  <c r="K687" i="34"/>
  <c r="K685" i="34"/>
  <c r="K684" i="34"/>
  <c r="K667" i="34"/>
  <c r="K666" i="34"/>
  <c r="K662" i="34"/>
  <c r="K661" i="34"/>
  <c r="K630" i="34"/>
  <c r="I620" i="34"/>
  <c r="K620" i="34"/>
  <c r="K614" i="34"/>
  <c r="K617" i="34"/>
  <c r="K621" i="34"/>
  <c r="K627" i="34"/>
  <c r="K637" i="34"/>
  <c r="K638" i="34"/>
  <c r="K640" i="34"/>
  <c r="K642" i="34"/>
  <c r="K643" i="34"/>
  <c r="K611" i="34"/>
  <c r="K825" i="34"/>
  <c r="K610" i="34"/>
  <c r="K494" i="34"/>
  <c r="K390" i="34"/>
  <c r="K250" i="34"/>
  <c r="K132" i="34"/>
  <c r="H7" i="60"/>
  <c r="I7" i="60" s="1"/>
  <c r="H8" i="60"/>
  <c r="I8" i="60"/>
  <c r="H9" i="60"/>
  <c r="I9" i="60" s="1"/>
  <c r="H10" i="60"/>
  <c r="H11" i="60"/>
  <c r="I11" i="60" s="1"/>
  <c r="H12" i="60"/>
  <c r="I12" i="60" s="1"/>
  <c r="H13" i="60"/>
  <c r="I13" i="60"/>
  <c r="H14" i="60"/>
  <c r="I14" i="60" s="1"/>
  <c r="H22" i="60"/>
  <c r="H23" i="60"/>
  <c r="I23" i="60"/>
  <c r="H24" i="60"/>
  <c r="I24" i="60" s="1"/>
  <c r="H25" i="60"/>
  <c r="I25" i="60"/>
  <c r="H26" i="60"/>
  <c r="I26" i="60" s="1"/>
  <c r="H27" i="60"/>
  <c r="H28" i="60"/>
  <c r="I28" i="60"/>
  <c r="H29" i="60"/>
  <c r="I29" i="60" s="1"/>
  <c r="H30" i="60"/>
  <c r="I30" i="60" s="1"/>
  <c r="H31" i="60"/>
  <c r="I31" i="60" s="1"/>
  <c r="H32" i="60"/>
  <c r="I32" i="60"/>
  <c r="H33" i="60"/>
  <c r="I33" i="60" s="1"/>
  <c r="H34" i="60"/>
  <c r="H35" i="60"/>
  <c r="I35" i="60"/>
  <c r="H36" i="60"/>
  <c r="I36" i="60" s="1"/>
  <c r="H37" i="60"/>
  <c r="I37" i="60"/>
  <c r="H38" i="60"/>
  <c r="H39" i="60"/>
  <c r="I39" i="60"/>
  <c r="H40" i="60"/>
  <c r="I40" i="60"/>
  <c r="H41" i="60"/>
  <c r="I41" i="60"/>
  <c r="H42" i="60"/>
  <c r="I42" i="60" s="1"/>
  <c r="H43" i="60"/>
  <c r="I43" i="60" s="1"/>
  <c r="H44" i="60"/>
  <c r="I44" i="60"/>
  <c r="H45" i="60"/>
  <c r="I45" i="60"/>
  <c r="H46" i="60"/>
  <c r="H47" i="60"/>
  <c r="I47" i="60"/>
  <c r="H48" i="60"/>
  <c r="I48" i="60" s="1"/>
  <c r="H49" i="60"/>
  <c r="I49" i="60"/>
  <c r="H50" i="60"/>
  <c r="I50" i="60" s="1"/>
  <c r="H51" i="60"/>
  <c r="I51" i="60"/>
  <c r="H52" i="60"/>
  <c r="I52" i="60" s="1"/>
  <c r="H53" i="60"/>
  <c r="I53" i="60"/>
  <c r="H54" i="60"/>
  <c r="I54" i="60" s="1"/>
  <c r="H55" i="60"/>
  <c r="I55" i="60" s="1"/>
  <c r="H56" i="60"/>
  <c r="I56" i="60"/>
  <c r="H57" i="60"/>
  <c r="I57" i="60" s="1"/>
  <c r="H58" i="60"/>
  <c r="I58" i="60" s="1"/>
  <c r="H59" i="60"/>
  <c r="H60" i="60"/>
  <c r="I60" i="60" s="1"/>
  <c r="H61" i="60"/>
  <c r="I61" i="60"/>
  <c r="H62" i="60"/>
  <c r="I62" i="60" s="1"/>
  <c r="H63" i="60"/>
  <c r="I63" i="60"/>
  <c r="H64" i="60"/>
  <c r="I64" i="60"/>
  <c r="H65" i="60"/>
  <c r="I65" i="60"/>
  <c r="H66" i="60"/>
  <c r="I66" i="60" s="1"/>
  <c r="H67" i="60"/>
  <c r="H68" i="60"/>
  <c r="I68" i="60"/>
  <c r="H69" i="60"/>
  <c r="I69" i="60" s="1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 s="1"/>
  <c r="H80" i="60"/>
  <c r="I80" i="60"/>
  <c r="H81" i="60"/>
  <c r="I81" i="60" s="1"/>
  <c r="H82" i="60"/>
  <c r="H83" i="60"/>
  <c r="I83" i="60"/>
  <c r="H84" i="60"/>
  <c r="I84" i="60"/>
  <c r="H85" i="60"/>
  <c r="I85" i="60"/>
  <c r="H86" i="60"/>
  <c r="H87" i="60"/>
  <c r="I87" i="60"/>
  <c r="H88" i="60"/>
  <c r="H89" i="60"/>
  <c r="I89" i="60"/>
  <c r="H90" i="60"/>
  <c r="H91" i="60"/>
  <c r="H92" i="60"/>
  <c r="I92" i="60"/>
  <c r="H93" i="60"/>
  <c r="I93" i="60" s="1"/>
  <c r="H94" i="60"/>
  <c r="I94" i="60" s="1"/>
  <c r="H95" i="60"/>
  <c r="I95" i="60"/>
  <c r="H96" i="60"/>
  <c r="I96" i="60"/>
  <c r="H97" i="60"/>
  <c r="I97" i="60"/>
  <c r="H98" i="60"/>
  <c r="H99" i="60"/>
  <c r="I99" i="60"/>
  <c r="H100" i="60"/>
  <c r="I100" i="60" s="1"/>
  <c r="H101" i="60"/>
  <c r="I101" i="60"/>
  <c r="H102" i="60"/>
  <c r="I102" i="60" s="1"/>
  <c r="H103" i="60"/>
  <c r="I103" i="60"/>
  <c r="H104" i="60"/>
  <c r="I104" i="60" s="1"/>
  <c r="H105" i="60"/>
  <c r="I105" i="60"/>
  <c r="H106" i="60"/>
  <c r="I106" i="60" s="1"/>
  <c r="H107" i="60"/>
  <c r="H108" i="60"/>
  <c r="I108" i="60"/>
  <c r="H109" i="60"/>
  <c r="H110" i="60"/>
  <c r="H111" i="60"/>
  <c r="I111" i="60"/>
  <c r="H112" i="60"/>
  <c r="I112" i="60" s="1"/>
  <c r="H113" i="60"/>
  <c r="I113" i="60"/>
  <c r="H114" i="60"/>
  <c r="I114" i="60" s="1"/>
  <c r="H115" i="60"/>
  <c r="I115" i="60"/>
  <c r="H116" i="60"/>
  <c r="I116" i="60" s="1"/>
  <c r="H117" i="60"/>
  <c r="I117" i="60"/>
  <c r="H118" i="60"/>
  <c r="I118" i="60" s="1"/>
  <c r="H119" i="60"/>
  <c r="I119" i="60"/>
  <c r="H120" i="60"/>
  <c r="I120" i="60" s="1"/>
  <c r="H121" i="60"/>
  <c r="I121" i="60"/>
  <c r="H122" i="60"/>
  <c r="H123" i="60"/>
  <c r="I123" i="60"/>
  <c r="H124" i="60"/>
  <c r="I124" i="60" s="1"/>
  <c r="H6" i="60"/>
  <c r="I6" i="60"/>
  <c r="I110" i="60"/>
  <c r="I46" i="60"/>
  <c r="I74" i="60"/>
  <c r="I86" i="60"/>
  <c r="I70" i="60"/>
  <c r="I22" i="60"/>
  <c r="I78" i="60"/>
  <c r="I90" i="60"/>
  <c r="I10" i="60"/>
  <c r="I107" i="60"/>
  <c r="I98" i="60"/>
  <c r="I91" i="60"/>
  <c r="I82" i="60"/>
  <c r="I75" i="60"/>
  <c r="I34" i="60"/>
  <c r="I27" i="60"/>
  <c r="K839" i="34"/>
  <c r="K840" i="34"/>
  <c r="K841" i="34"/>
  <c r="K842" i="34"/>
  <c r="K838" i="34"/>
  <c r="K578" i="34"/>
  <c r="K569" i="34"/>
  <c r="K532" i="34"/>
  <c r="K521" i="34"/>
  <c r="K426" i="34"/>
  <c r="K425" i="34"/>
  <c r="K421" i="34"/>
  <c r="K423" i="34"/>
  <c r="K422" i="34"/>
  <c r="K417" i="34"/>
  <c r="K416" i="34"/>
  <c r="K414" i="34"/>
  <c r="C20" i="54"/>
  <c r="A14" i="54"/>
  <c r="K462" i="34"/>
  <c r="K444" i="34"/>
  <c r="K442" i="34"/>
  <c r="K440" i="34"/>
  <c r="K453" i="34"/>
  <c r="K434" i="34"/>
  <c r="K430" i="34"/>
  <c r="A11" i="12"/>
  <c r="A12" i="12"/>
  <c r="A13" i="12"/>
  <c r="A8" i="12"/>
  <c r="I476" i="34"/>
  <c r="K476" i="34"/>
  <c r="I470" i="34"/>
  <c r="K470" i="34" s="1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8" i="70"/>
  <c r="A29" i="70"/>
  <c r="A30" i="70"/>
  <c r="A31" i="70"/>
  <c r="A32" i="70"/>
  <c r="A42" i="70"/>
  <c r="K19" i="64"/>
  <c r="J19" i="64"/>
  <c r="H19" i="64"/>
  <c r="L17" i="64"/>
  <c r="K128" i="34"/>
  <c r="K393" i="34"/>
  <c r="K254" i="34"/>
  <c r="K359" i="34"/>
  <c r="I383" i="34"/>
  <c r="I380" i="34"/>
  <c r="I379" i="34"/>
  <c r="I377" i="34"/>
  <c r="I292" i="34"/>
  <c r="I285" i="34"/>
  <c r="I281" i="34"/>
  <c r="I280" i="34"/>
  <c r="I276" i="34"/>
  <c r="I275" i="34"/>
  <c r="K275" i="34" s="1"/>
  <c r="I272" i="34"/>
  <c r="K227" i="34"/>
  <c r="I225" i="34"/>
  <c r="I208" i="34"/>
  <c r="I177" i="55" a="1"/>
  <c r="I177" i="55" s="1"/>
  <c r="G180" i="55" a="1"/>
  <c r="G180" i="55" s="1"/>
  <c r="G175" i="55" a="1"/>
  <c r="G175" i="55" s="1"/>
  <c r="I69" i="55" a="1"/>
  <c r="I69" i="55" s="1"/>
  <c r="I130" i="55" a="1"/>
  <c r="I130" i="55" s="1"/>
  <c r="I89" i="55" a="1"/>
  <c r="I89" i="55" s="1"/>
  <c r="I131" i="55" a="1"/>
  <c r="I131" i="55" s="1"/>
  <c r="G155" i="55" a="1"/>
  <c r="G155" i="55" s="1"/>
  <c r="G104" i="55" a="1"/>
  <c r="G104" i="55" s="1"/>
  <c r="G128" i="55" a="1"/>
  <c r="G128" i="55" s="1"/>
  <c r="I168" i="55" a="1"/>
  <c r="I168" i="55" s="1"/>
  <c r="G29" i="55" a="1"/>
  <c r="G29" i="55" s="1"/>
  <c r="G81" i="55" a="1"/>
  <c r="G81" i="55" s="1"/>
  <c r="G114" i="55" a="1"/>
  <c r="G114" i="55" s="1"/>
  <c r="I66" i="55" a="1"/>
  <c r="I66" i="55" s="1"/>
  <c r="G139" i="55" a="1"/>
  <c r="G139" i="55" s="1"/>
  <c r="G92" i="55" a="1"/>
  <c r="G92" i="55" s="1"/>
  <c r="I96" i="55" a="1"/>
  <c r="I96" i="55" s="1"/>
  <c r="I84" i="55" a="1"/>
  <c r="I84" i="55" s="1"/>
  <c r="G78" i="55" a="1"/>
  <c r="G78" i="55" s="1"/>
  <c r="G98" i="55" a="1"/>
  <c r="G98" i="55" s="1"/>
  <c r="I114" i="55" a="1"/>
  <c r="I114" i="55" s="1"/>
  <c r="I156" i="55" a="1"/>
  <c r="I156" i="55" s="1"/>
  <c r="G38" i="55" a="1"/>
  <c r="G38" i="55" s="1"/>
  <c r="I94" i="55" a="1"/>
  <c r="I94" i="55" s="1"/>
  <c r="I90" i="55" a="1"/>
  <c r="I90" i="55" s="1"/>
  <c r="I113" i="55" a="1"/>
  <c r="I113" i="55" s="1"/>
  <c r="G73" i="55" a="1"/>
  <c r="G73" i="55" s="1"/>
  <c r="I112" i="55" a="1"/>
  <c r="I112" i="55" s="1"/>
  <c r="I41" i="55" a="1"/>
  <c r="I41" i="55" s="1"/>
  <c r="G95" i="55" a="1"/>
  <c r="G95" i="55" s="1"/>
  <c r="I99" i="55" a="1"/>
  <c r="I99" i="55" s="1"/>
  <c r="I159" i="55" a="1"/>
  <c r="I159" i="55" s="1"/>
  <c r="I91" i="55" a="1"/>
  <c r="I91" i="55" s="1"/>
  <c r="I169" i="55" a="1"/>
  <c r="I169" i="55" s="1"/>
  <c r="G143" i="55" a="1"/>
  <c r="G143" i="55" s="1"/>
  <c r="G133" i="55" a="1"/>
  <c r="G133" i="55" s="1"/>
  <c r="I103" i="55" a="1"/>
  <c r="I103" i="55" s="1"/>
  <c r="I129" i="55" a="1"/>
  <c r="I129" i="55" s="1"/>
  <c r="I115" i="55" a="1"/>
  <c r="I115" i="55" s="1"/>
  <c r="G61" i="55" a="1"/>
  <c r="G61" i="55" s="1"/>
  <c r="K61" i="55" s="1"/>
  <c r="G123" i="55" a="1"/>
  <c r="G123" i="55" s="1"/>
  <c r="G88" i="55" a="1"/>
  <c r="G88" i="55" s="1"/>
  <c r="G121" i="55" a="1"/>
  <c r="G121" i="55" s="1"/>
  <c r="G108" i="55" a="1"/>
  <c r="G108" i="55" s="1"/>
  <c r="G35" i="55" a="1"/>
  <c r="G35" i="55" s="1"/>
  <c r="I29" i="55" a="1"/>
  <c r="I29" i="55" s="1"/>
  <c r="I157" i="55" a="1"/>
  <c r="I157" i="55" s="1"/>
  <c r="I147" i="55" a="1"/>
  <c r="I147" i="55" s="1"/>
  <c r="I158" i="55" a="1"/>
  <c r="I158" i="55" s="1"/>
  <c r="I53" i="55" a="1"/>
  <c r="I53" i="55" s="1"/>
  <c r="I51" i="55" a="1"/>
  <c r="I51" i="55" s="1"/>
  <c r="I55" i="55" a="1"/>
  <c r="I55" i="55" s="1"/>
  <c r="G115" i="55" a="1"/>
  <c r="G115" i="55" s="1"/>
  <c r="I61" i="55" a="1"/>
  <c r="I61" i="55" s="1"/>
  <c r="I173" i="55" a="1"/>
  <c r="I173" i="55" s="1"/>
  <c r="G157" i="55" a="1"/>
  <c r="G157" i="55" s="1"/>
  <c r="G136" i="55" a="1"/>
  <c r="G136" i="55" s="1"/>
  <c r="G32" i="55" a="1"/>
  <c r="G32" i="55" s="1"/>
  <c r="G65" i="55" a="1"/>
  <c r="G65" i="55" s="1"/>
  <c r="G77" i="55" a="1"/>
  <c r="G77" i="55" s="1"/>
  <c r="G156" i="55" a="1"/>
  <c r="G156" i="55" s="1"/>
  <c r="K156" i="55" s="1"/>
  <c r="G40" i="55" a="1"/>
  <c r="G40" i="55" s="1"/>
  <c r="G161" i="55" a="1"/>
  <c r="G161" i="55" s="1"/>
  <c r="K161" i="55" s="1"/>
  <c r="I122" i="55" a="1"/>
  <c r="I122" i="55" s="1"/>
  <c r="I142" i="55" a="1"/>
  <c r="I142" i="55" s="1"/>
  <c r="I48" i="55" a="1"/>
  <c r="I48" i="55" s="1"/>
  <c r="I39" i="55" a="1"/>
  <c r="I39" i="55" s="1"/>
  <c r="K39" i="55" s="1"/>
  <c r="I160" i="55" a="1"/>
  <c r="I160" i="55" s="1"/>
  <c r="I71" i="55" a="1"/>
  <c r="I71" i="55" s="1"/>
  <c r="I52" i="55" a="1"/>
  <c r="I52" i="55" s="1"/>
  <c r="I54" i="55" a="1"/>
  <c r="I54" i="55" s="1"/>
  <c r="I137" i="55" a="1"/>
  <c r="I137" i="55" s="1"/>
  <c r="I72" i="55" a="1"/>
  <c r="I72" i="55" s="1"/>
  <c r="G53" i="55" a="1"/>
  <c r="G53" i="55" s="1"/>
  <c r="K53" i="55" s="1"/>
  <c r="G54" i="55" a="1"/>
  <c r="G54" i="55" s="1"/>
  <c r="K54" i="55" s="1"/>
  <c r="G129" i="55" a="1"/>
  <c r="G129" i="55" s="1"/>
  <c r="K129" i="55" s="1"/>
  <c r="G85" i="55" a="1"/>
  <c r="G85" i="55" s="1"/>
  <c r="I134" i="55" a="1"/>
  <c r="I134" i="55" s="1"/>
  <c r="G141" i="55" a="1"/>
  <c r="G141" i="55" s="1"/>
  <c r="K141" i="55" s="1"/>
  <c r="I161" i="55" a="1"/>
  <c r="I161" i="55" s="1"/>
  <c r="G111" i="55" a="1"/>
  <c r="G111" i="55" s="1"/>
  <c r="G142" i="55" a="1"/>
  <c r="G142" i="55" s="1"/>
  <c r="K142" i="55" s="1"/>
  <c r="G48" i="55" a="1"/>
  <c r="G48" i="55" s="1"/>
  <c r="G39" i="55" a="1"/>
  <c r="G39" i="55" s="1"/>
  <c r="G160" i="55" a="1"/>
  <c r="G160" i="55" s="1"/>
  <c r="G33" i="55" a="1"/>
  <c r="G33" i="55" s="1"/>
  <c r="G71" i="55" a="1"/>
  <c r="G71" i="55" s="1"/>
  <c r="K71" i="55" s="1"/>
  <c r="G51" i="55" a="1"/>
  <c r="G51" i="55" s="1"/>
  <c r="G102" i="55" a="1"/>
  <c r="G102" i="55" s="1"/>
  <c r="G47" i="55" a="1"/>
  <c r="G47" i="55" s="1"/>
  <c r="G80" i="55" a="1"/>
  <c r="G80" i="55" s="1"/>
  <c r="G172" i="55" a="1"/>
  <c r="G172" i="55" s="1"/>
  <c r="I139" i="55" a="1"/>
  <c r="I139" i="55" s="1"/>
  <c r="I117" i="55" a="1"/>
  <c r="I117" i="55" s="1"/>
  <c r="I100" i="55" a="1"/>
  <c r="I100" i="55" s="1"/>
  <c r="I87" i="55" a="1"/>
  <c r="I87" i="55" s="1"/>
  <c r="I154" i="55" a="1"/>
  <c r="I154" i="55" s="1"/>
  <c r="G59" i="55" a="1"/>
  <c r="G59" i="55" s="1"/>
  <c r="G44" i="55" a="1"/>
  <c r="G44" i="55" s="1"/>
  <c r="G57" i="55" a="1"/>
  <c r="G57" i="55" s="1"/>
  <c r="I92" i="55" a="1"/>
  <c r="I92" i="55" s="1"/>
  <c r="I150" i="55" a="1"/>
  <c r="I150" i="55" s="1"/>
  <c r="G119" i="55" a="1"/>
  <c r="G119" i="55" s="1"/>
  <c r="G122" i="55" a="1"/>
  <c r="G122" i="55" s="1"/>
  <c r="K122" i="55" s="1"/>
  <c r="G100" i="55" a="1"/>
  <c r="G100" i="55" s="1"/>
  <c r="G87" i="55" a="1"/>
  <c r="G87" i="55" s="1"/>
  <c r="K87" i="55" s="1"/>
  <c r="G72" i="55" a="1"/>
  <c r="G72" i="55" s="1"/>
  <c r="K72" i="55" s="1"/>
  <c r="G67" i="55" a="1"/>
  <c r="G67" i="55" s="1"/>
  <c r="I64" i="55" a="1"/>
  <c r="I64" i="55" s="1"/>
  <c r="I108" i="55" a="1"/>
  <c r="I108" i="55" s="1"/>
  <c r="I31" i="55" a="1"/>
  <c r="I31" i="55" s="1"/>
  <c r="I35" i="55" a="1"/>
  <c r="I35" i="55" s="1"/>
  <c r="I86" i="55" a="1"/>
  <c r="I86" i="55" s="1"/>
  <c r="I141" i="55" a="1"/>
  <c r="I141" i="55" s="1"/>
  <c r="G120" i="55" a="1"/>
  <c r="G120" i="55" s="1"/>
  <c r="K136" i="34"/>
  <c r="K137" i="34"/>
  <c r="K138" i="34"/>
  <c r="K140" i="34"/>
  <c r="K141" i="34"/>
  <c r="K142" i="34"/>
  <c r="K145" i="34"/>
  <c r="K147" i="34"/>
  <c r="K148" i="34"/>
  <c r="K152" i="34"/>
  <c r="K155" i="34"/>
  <c r="K157" i="34"/>
  <c r="K158" i="34"/>
  <c r="K159" i="34"/>
  <c r="K160" i="34"/>
  <c r="K161" i="34"/>
  <c r="K163" i="34"/>
  <c r="K166" i="34"/>
  <c r="K167" i="34"/>
  <c r="K168" i="34"/>
  <c r="K169" i="34"/>
  <c r="K170" i="34"/>
  <c r="K171" i="34"/>
  <c r="K176" i="34"/>
  <c r="K177" i="34"/>
  <c r="K179" i="34"/>
  <c r="K185" i="34"/>
  <c r="K187" i="34"/>
  <c r="K188" i="34"/>
  <c r="K205" i="34"/>
  <c r="K208" i="34"/>
  <c r="K213" i="34"/>
  <c r="K214" i="34"/>
  <c r="K225" i="34"/>
  <c r="K230" i="34"/>
  <c r="K231" i="34"/>
  <c r="K234" i="34"/>
  <c r="K236" i="34"/>
  <c r="K237" i="34"/>
  <c r="K240" i="34"/>
  <c r="K242" i="34"/>
  <c r="K245" i="34"/>
  <c r="K257" i="34"/>
  <c r="K258" i="34"/>
  <c r="K259" i="34"/>
  <c r="K261" i="34"/>
  <c r="K262" i="34"/>
  <c r="K263" i="34"/>
  <c r="K264" i="34"/>
  <c r="K270" i="34"/>
  <c r="K272" i="34"/>
  <c r="K276" i="34"/>
  <c r="K277" i="34"/>
  <c r="K278" i="34"/>
  <c r="K280" i="34"/>
  <c r="K281" i="34"/>
  <c r="K282" i="34"/>
  <c r="K285" i="34"/>
  <c r="K287" i="34"/>
  <c r="K290" i="34"/>
  <c r="K292" i="34"/>
  <c r="K297" i="34"/>
  <c r="K298" i="34"/>
  <c r="K301" i="34"/>
  <c r="K304" i="34"/>
  <c r="K305" i="34"/>
  <c r="K306" i="34"/>
  <c r="K307" i="34"/>
  <c r="K308" i="34"/>
  <c r="K317" i="34"/>
  <c r="K328" i="34"/>
  <c r="K329" i="34"/>
  <c r="K330" i="34"/>
  <c r="K333" i="34"/>
  <c r="K334" i="34"/>
  <c r="K339" i="34"/>
  <c r="K340" i="34"/>
  <c r="K341" i="34"/>
  <c r="K342" i="34"/>
  <c r="K364" i="34"/>
  <c r="K373" i="34"/>
  <c r="K374" i="34"/>
  <c r="K375" i="34"/>
  <c r="K377" i="34"/>
  <c r="K379" i="34"/>
  <c r="K380" i="34"/>
  <c r="K381" i="34"/>
  <c r="K383" i="34"/>
  <c r="K386" i="34"/>
  <c r="K51" i="55"/>
  <c r="K29" i="55"/>
  <c r="K139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9" i="34"/>
  <c r="K118" i="34"/>
  <c r="K119" i="34"/>
  <c r="K121" i="34"/>
  <c r="K122" i="34"/>
  <c r="K134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E6" i="43"/>
  <c r="K49" i="34"/>
  <c r="K48" i="34"/>
  <c r="K47" i="34"/>
  <c r="K114" i="34"/>
  <c r="K113" i="34"/>
  <c r="K112" i="34"/>
  <c r="K251" i="34"/>
  <c r="K191" i="34"/>
  <c r="K173" i="34"/>
  <c r="K38" i="34"/>
  <c r="K37" i="34"/>
  <c r="K36" i="34"/>
  <c r="K31" i="34"/>
  <c r="K30" i="34"/>
  <c r="K29" i="34"/>
  <c r="K25" i="34"/>
  <c r="R15" i="60"/>
  <c r="A1" i="60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/>
  <c r="R22" i="60"/>
  <c r="R24" i="60" s="1"/>
  <c r="F23" i="55"/>
  <c r="F24" i="55" s="1"/>
  <c r="G12" i="55" a="1"/>
  <c r="G12" i="55" s="1"/>
  <c r="I7" i="12"/>
  <c r="I9" i="12"/>
  <c r="I10" i="12"/>
  <c r="I15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18" i="12"/>
  <c r="F45" i="70"/>
  <c r="H2" i="55"/>
  <c r="B6" i="57"/>
  <c r="L2" i="64"/>
  <c r="J3" i="54"/>
  <c r="L3" i="39"/>
  <c r="L2" i="39"/>
  <c r="E23" i="55"/>
  <c r="I16" i="54"/>
  <c r="N10" i="34"/>
  <c r="N11" i="34"/>
  <c r="C43" i="71"/>
  <c r="G39" i="71"/>
  <c r="A11" i="55"/>
  <c r="D5" i="61"/>
  <c r="R7" i="60"/>
  <c r="R14" i="60" s="1"/>
  <c r="R23" i="60"/>
  <c r="R30" i="60" s="1"/>
  <c r="C33" i="15"/>
  <c r="C34" i="15" s="1"/>
  <c r="Q3" i="56"/>
  <c r="P3" i="56"/>
  <c r="S10" i="34"/>
  <c r="T10" i="34"/>
  <c r="V10" i="34"/>
  <c r="W10" i="34"/>
  <c r="S11" i="34"/>
  <c r="T11" i="34"/>
  <c r="V11" i="34"/>
  <c r="W11" i="34"/>
  <c r="B22" i="55"/>
  <c r="A22" i="55" s="1"/>
  <c r="A23" i="55"/>
  <c r="I16" i="55" a="1"/>
  <c r="I16" i="55" s="1"/>
  <c r="G16" i="55" a="1"/>
  <c r="G16" i="55" s="1"/>
  <c r="K16" i="55" s="1"/>
  <c r="I28" i="55" a="1"/>
  <c r="I28" i="55" s="1"/>
  <c r="G50" i="55" a="1"/>
  <c r="G50" i="55" s="1"/>
  <c r="I50" i="55" a="1"/>
  <c r="I50" i="55" s="1"/>
  <c r="A3" i="15"/>
  <c r="A2" i="15"/>
  <c r="N8" i="73"/>
  <c r="M8" i="73"/>
  <c r="A2" i="73"/>
  <c r="A1" i="73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B42" i="14"/>
  <c r="C42" i="14"/>
  <c r="C44" i="14"/>
  <c r="A30" i="14"/>
  <c r="B26" i="14"/>
  <c r="A27" i="14"/>
  <c r="C16" i="71"/>
  <c r="C21" i="71"/>
  <c r="G25" i="71"/>
  <c r="D25" i="71"/>
  <c r="F15" i="71"/>
  <c r="B28" i="71"/>
  <c r="I13" i="71"/>
  <c r="D43" i="70"/>
  <c r="D44" i="70" s="1"/>
  <c r="C43" i="70"/>
  <c r="A18" i="71"/>
  <c r="D13" i="15"/>
  <c r="C13" i="15"/>
  <c r="C43" i="15"/>
  <c r="D43" i="15"/>
  <c r="C36" i="15"/>
  <c r="D36" i="15"/>
  <c r="D33" i="15"/>
  <c r="D34" i="15"/>
  <c r="C18" i="15"/>
  <c r="D18" i="15"/>
  <c r="D16" i="15"/>
  <c r="D55" i="15" s="1"/>
  <c r="C16" i="15"/>
  <c r="C55" i="15" s="1"/>
  <c r="D11" i="15"/>
  <c r="C11" i="15"/>
  <c r="A28" i="68"/>
  <c r="P13" i="64"/>
  <c r="A7" i="68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L14" i="64"/>
  <c r="L19" i="64" s="1"/>
  <c r="L15" i="64"/>
  <c r="L16" i="64"/>
  <c r="I11" i="55" a="1"/>
  <c r="I11" i="55"/>
  <c r="G19" i="55" a="1"/>
  <c r="G19" i="55" s="1"/>
  <c r="K19" i="55" s="1"/>
  <c r="I17" i="55" a="1"/>
  <c r="I17" i="55" s="1"/>
  <c r="G11" i="55" a="1"/>
  <c r="G11" i="55" s="1"/>
  <c r="G18" i="55" a="1"/>
  <c r="G18" i="55" s="1"/>
  <c r="G17" i="55" a="1"/>
  <c r="G17" i="55" s="1"/>
  <c r="K17" i="55" s="1"/>
  <c r="I19" i="55" a="1"/>
  <c r="I19" i="55" s="1"/>
  <c r="I18" i="55" a="1"/>
  <c r="I18" i="55"/>
  <c r="K18" i="55" s="1"/>
  <c r="A15" i="12"/>
  <c r="G20" i="55" a="1"/>
  <c r="G20" i="55" s="1"/>
  <c r="A14" i="55"/>
  <c r="B13" i="55"/>
  <c r="A13" i="55" s="1"/>
  <c r="E14" i="55"/>
  <c r="A6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K14" i="34"/>
  <c r="K10" i="34"/>
  <c r="Y13" i="34"/>
  <c r="P13" i="34"/>
  <c r="Q13" i="34"/>
  <c r="A12" i="34"/>
  <c r="Y12" i="34"/>
  <c r="P12" i="34"/>
  <c r="Q12" i="34"/>
  <c r="A11" i="34"/>
  <c r="P11" i="34"/>
  <c r="Q11" i="34"/>
  <c r="Y11" i="34"/>
  <c r="Y10" i="34"/>
  <c r="P10" i="34"/>
  <c r="Q10" i="34"/>
  <c r="G7" i="57"/>
  <c r="D16" i="12"/>
  <c r="D17" i="12" s="1"/>
  <c r="C16" i="12"/>
  <c r="U8" i="43"/>
  <c r="C21" i="15"/>
  <c r="D21" i="15"/>
  <c r="C38" i="15"/>
  <c r="D38" i="15"/>
  <c r="D40" i="15"/>
  <c r="L13" i="54" s="1"/>
  <c r="B11" i="61"/>
  <c r="A31" i="58"/>
  <c r="I13" i="58"/>
  <c r="C8" i="58"/>
  <c r="A31" i="57"/>
  <c r="L13" i="57"/>
  <c r="K13" i="57"/>
  <c r="I7" i="57"/>
  <c r="D7" i="56"/>
  <c r="A10" i="56" s="1"/>
  <c r="C7" i="56"/>
  <c r="D5" i="56"/>
  <c r="I20" i="55" a="1"/>
  <c r="I20" i="55" s="1"/>
  <c r="I21" i="55" a="1"/>
  <c r="I21" i="55" s="1"/>
  <c r="G21" i="55" a="1"/>
  <c r="G21" i="55" s="1"/>
  <c r="F14" i="55"/>
  <c r="F15" i="55" s="1"/>
  <c r="I10" i="55" a="1"/>
  <c r="I10" i="55" s="1"/>
  <c r="G10" i="55" a="1"/>
  <c r="G10" i="55" s="1"/>
  <c r="K10" i="55" s="1"/>
  <c r="I9" i="55" a="1"/>
  <c r="I9" i="55" s="1"/>
  <c r="K9" i="55" s="1"/>
  <c r="G9" i="55" a="1"/>
  <c r="G9" i="55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3" i="34"/>
  <c r="A12" i="56"/>
  <c r="A11" i="56"/>
  <c r="U11" i="34"/>
  <c r="U10" i="34"/>
  <c r="H33" i="56"/>
  <c r="F33" i="56"/>
  <c r="F32" i="56"/>
  <c r="A10" i="34"/>
  <c r="C21" i="14"/>
  <c r="A20" i="14"/>
  <c r="G2" i="56"/>
  <c r="F15" i="56"/>
  <c r="K12" i="34"/>
  <c r="K11" i="34"/>
  <c r="K13" i="34"/>
  <c r="A9" i="55"/>
  <c r="A10" i="55"/>
  <c r="E19" i="14"/>
  <c r="E15" i="14"/>
  <c r="D18" i="14"/>
  <c r="D14" i="14"/>
  <c r="E14" i="14"/>
  <c r="E20" i="14"/>
  <c r="F19" i="14"/>
  <c r="F18" i="14"/>
  <c r="M8" i="39"/>
  <c r="B16" i="55"/>
  <c r="B17" i="55" s="1"/>
  <c r="H10" i="73"/>
  <c r="I10" i="73"/>
  <c r="B25" i="55"/>
  <c r="B26" i="55"/>
  <c r="B27" i="55"/>
  <c r="A27" i="55" s="1"/>
  <c r="A26" i="55"/>
  <c r="A25" i="55"/>
  <c r="D12" i="61"/>
  <c r="G12" i="61"/>
  <c r="F12" i="61"/>
  <c r="C12" i="61"/>
  <c r="H12" i="61"/>
  <c r="E12" i="61"/>
  <c r="B13" i="61"/>
  <c r="I12" i="61"/>
  <c r="L14" i="54" l="1"/>
  <c r="L16" i="54"/>
  <c r="L17" i="54" s="1"/>
  <c r="B18" i="55"/>
  <c r="A17" i="55"/>
  <c r="G58" i="71"/>
  <c r="G41" i="71"/>
  <c r="F31" i="71"/>
  <c r="B37" i="71"/>
  <c r="A58" i="71"/>
  <c r="F47" i="71"/>
  <c r="B34" i="71"/>
  <c r="K114" i="55"/>
  <c r="I88" i="60"/>
  <c r="I67" i="60"/>
  <c r="I59" i="60"/>
  <c r="I247" i="60"/>
  <c r="I169" i="60"/>
  <c r="I161" i="60"/>
  <c r="I157" i="60"/>
  <c r="I153" i="60"/>
  <c r="I149" i="60"/>
  <c r="I137" i="60"/>
  <c r="I273" i="60" s="1"/>
  <c r="H273" i="60"/>
  <c r="I230" i="60"/>
  <c r="I238" i="60"/>
  <c r="I242" i="60"/>
  <c r="I246" i="60"/>
  <c r="I17" i="60"/>
  <c r="A20" i="71"/>
  <c r="D26" i="71"/>
  <c r="F19" i="71"/>
  <c r="A24" i="71"/>
  <c r="G29" i="71"/>
  <c r="F18" i="71"/>
  <c r="G30" i="14"/>
  <c r="D22" i="14"/>
  <c r="E36" i="14"/>
  <c r="D25" i="14"/>
  <c r="F39" i="14"/>
  <c r="D46" i="14"/>
  <c r="E37" i="14"/>
  <c r="U133" i="34"/>
  <c r="U135" i="34"/>
  <c r="U137" i="34"/>
  <c r="U139" i="34"/>
  <c r="U141" i="34"/>
  <c r="U143" i="34"/>
  <c r="U145" i="34"/>
  <c r="U147" i="34"/>
  <c r="U149" i="34"/>
  <c r="U151" i="34"/>
  <c r="U153" i="34"/>
  <c r="U155" i="34"/>
  <c r="U157" i="34"/>
  <c r="U159" i="34"/>
  <c r="U161" i="34"/>
  <c r="U163" i="34"/>
  <c r="U165" i="34"/>
  <c r="U167" i="34"/>
  <c r="U169" i="34"/>
  <c r="U171" i="34"/>
  <c r="U173" i="34"/>
  <c r="U175" i="34"/>
  <c r="U177" i="34"/>
  <c r="U179" i="34"/>
  <c r="U181" i="34"/>
  <c r="U183" i="34"/>
  <c r="U185" i="34"/>
  <c r="U187" i="34"/>
  <c r="U189" i="34"/>
  <c r="U838" i="34"/>
  <c r="U192" i="34"/>
  <c r="U194" i="34"/>
  <c r="U196" i="34"/>
  <c r="U198" i="34"/>
  <c r="U200" i="34"/>
  <c r="U202" i="34"/>
  <c r="U204" i="34"/>
  <c r="U206" i="34"/>
  <c r="U839" i="34"/>
  <c r="U209" i="34"/>
  <c r="U211" i="34"/>
  <c r="U213" i="34"/>
  <c r="U215" i="34"/>
  <c r="U217" i="34"/>
  <c r="U219" i="34"/>
  <c r="U221" i="34"/>
  <c r="U223" i="34"/>
  <c r="U225" i="34"/>
  <c r="U227" i="34"/>
  <c r="U229" i="34"/>
  <c r="U231" i="34"/>
  <c r="U233" i="34"/>
  <c r="U235" i="34"/>
  <c r="U237" i="34"/>
  <c r="U239" i="34"/>
  <c r="U241" i="34"/>
  <c r="U243" i="34"/>
  <c r="U245" i="34"/>
  <c r="U247" i="34"/>
  <c r="U249" i="34"/>
  <c r="U251" i="34"/>
  <c r="U253" i="34"/>
  <c r="U255" i="34"/>
  <c r="U257" i="34"/>
  <c r="U259" i="34"/>
  <c r="U261" i="34"/>
  <c r="U263" i="34"/>
  <c r="U265" i="34"/>
  <c r="U267" i="34"/>
  <c r="U269" i="34"/>
  <c r="U271" i="34"/>
  <c r="U273" i="34"/>
  <c r="U275" i="34"/>
  <c r="U277" i="34"/>
  <c r="U279" i="34"/>
  <c r="U281" i="34"/>
  <c r="U283" i="34"/>
  <c r="U285" i="34"/>
  <c r="U287" i="34"/>
  <c r="U289" i="34"/>
  <c r="U291" i="34"/>
  <c r="U293" i="34"/>
  <c r="U840" i="34"/>
  <c r="U295" i="34"/>
  <c r="U297" i="34"/>
  <c r="U299" i="34"/>
  <c r="U301" i="34"/>
  <c r="U303" i="34"/>
  <c r="U305" i="34"/>
  <c r="U307" i="34"/>
  <c r="U309" i="34"/>
  <c r="U311" i="34"/>
  <c r="U313" i="34"/>
  <c r="U315" i="34"/>
  <c r="U317" i="34"/>
  <c r="U319" i="34"/>
  <c r="U321" i="34"/>
  <c r="U323" i="34"/>
  <c r="U325" i="34"/>
  <c r="U327" i="34"/>
  <c r="U329" i="34"/>
  <c r="U14" i="34"/>
  <c r="U134" i="34"/>
  <c r="U136" i="34"/>
  <c r="U138" i="34"/>
  <c r="U140" i="34"/>
  <c r="U142" i="34"/>
  <c r="U144" i="34"/>
  <c r="U146" i="34"/>
  <c r="U148" i="34"/>
  <c r="U150" i="34"/>
  <c r="U152" i="34"/>
  <c r="U154" i="34"/>
  <c r="U156" i="34"/>
  <c r="U158" i="34"/>
  <c r="U160" i="34"/>
  <c r="U162" i="34"/>
  <c r="U164" i="34"/>
  <c r="U166" i="34"/>
  <c r="U168" i="34"/>
  <c r="U170" i="34"/>
  <c r="U172" i="34"/>
  <c r="U174" i="34"/>
  <c r="U176" i="34"/>
  <c r="U178" i="34"/>
  <c r="U180" i="34"/>
  <c r="U182" i="34"/>
  <c r="U184" i="34"/>
  <c r="U186" i="34"/>
  <c r="U188" i="34"/>
  <c r="U190" i="34"/>
  <c r="U191" i="34"/>
  <c r="U193" i="34"/>
  <c r="U195" i="34"/>
  <c r="U197" i="34"/>
  <c r="U199" i="34"/>
  <c r="U201" i="34"/>
  <c r="U203" i="34"/>
  <c r="U205" i="34"/>
  <c r="U207" i="34"/>
  <c r="U208" i="34"/>
  <c r="U210" i="34"/>
  <c r="U212" i="34"/>
  <c r="U214" i="34"/>
  <c r="U216" i="34"/>
  <c r="U218" i="34"/>
  <c r="U222" i="34"/>
  <c r="U224" i="34"/>
  <c r="U226" i="34"/>
  <c r="U228" i="34"/>
  <c r="U230" i="34"/>
  <c r="U232" i="34"/>
  <c r="U234" i="34"/>
  <c r="U236" i="34"/>
  <c r="U238" i="34"/>
  <c r="U240" i="34"/>
  <c r="U242" i="34"/>
  <c r="U244" i="34"/>
  <c r="U246" i="34"/>
  <c r="U248" i="34"/>
  <c r="U250" i="34"/>
  <c r="U252" i="34"/>
  <c r="U254" i="34"/>
  <c r="U256" i="34"/>
  <c r="U258" i="34"/>
  <c r="U260" i="34"/>
  <c r="U262" i="34"/>
  <c r="U264" i="34"/>
  <c r="U266" i="34"/>
  <c r="U268" i="34"/>
  <c r="U270" i="34"/>
  <c r="U272" i="34"/>
  <c r="U274" i="34"/>
  <c r="U276" i="34"/>
  <c r="U278" i="34"/>
  <c r="U280" i="34"/>
  <c r="U282" i="34"/>
  <c r="U16" i="34"/>
  <c r="U20" i="34"/>
  <c r="U24" i="34"/>
  <c r="U28" i="34"/>
  <c r="U32" i="34"/>
  <c r="U36" i="34"/>
  <c r="U40" i="34"/>
  <c r="U44" i="34"/>
  <c r="U48" i="34"/>
  <c r="U54" i="34"/>
  <c r="U58" i="34"/>
  <c r="U63" i="34"/>
  <c r="U67" i="34"/>
  <c r="U71" i="34"/>
  <c r="U75" i="34"/>
  <c r="U79" i="34"/>
  <c r="U83" i="34"/>
  <c r="U87" i="34"/>
  <c r="U91" i="34"/>
  <c r="U95" i="34"/>
  <c r="U99" i="34"/>
  <c r="U103" i="34"/>
  <c r="U107" i="34"/>
  <c r="U111" i="34"/>
  <c r="U115" i="34"/>
  <c r="U119" i="34"/>
  <c r="U123" i="34"/>
  <c r="U127" i="34"/>
  <c r="U131" i="34"/>
  <c r="U286" i="34"/>
  <c r="U290" i="34"/>
  <c r="U294" i="34"/>
  <c r="U296" i="34"/>
  <c r="U300" i="34"/>
  <c r="U304" i="34"/>
  <c r="U308" i="34"/>
  <c r="U312" i="34"/>
  <c r="U316" i="34"/>
  <c r="U320" i="34"/>
  <c r="U324" i="34"/>
  <c r="U328" i="34"/>
  <c r="U392" i="34"/>
  <c r="U394" i="34"/>
  <c r="U396" i="34"/>
  <c r="U398" i="34"/>
  <c r="U400" i="34"/>
  <c r="U402" i="34"/>
  <c r="U404" i="34"/>
  <c r="U406" i="34"/>
  <c r="U408" i="34"/>
  <c r="U410" i="34"/>
  <c r="U412" i="34"/>
  <c r="U414" i="34"/>
  <c r="U416" i="34"/>
  <c r="U418" i="34"/>
  <c r="U420" i="34"/>
  <c r="U422" i="34"/>
  <c r="U424" i="34"/>
  <c r="U426" i="34"/>
  <c r="U428" i="34"/>
  <c r="U430" i="34"/>
  <c r="U432" i="34"/>
  <c r="U434" i="34"/>
  <c r="U436" i="34"/>
  <c r="U438" i="34"/>
  <c r="U440" i="34"/>
  <c r="U442" i="34"/>
  <c r="U444" i="34"/>
  <c r="U446" i="34"/>
  <c r="U448" i="34"/>
  <c r="U450" i="34"/>
  <c r="U452" i="34"/>
  <c r="U454" i="34"/>
  <c r="U456" i="34"/>
  <c r="U458" i="34"/>
  <c r="U460" i="34"/>
  <c r="U462" i="34"/>
  <c r="U464" i="34"/>
  <c r="U466" i="34"/>
  <c r="U468" i="34"/>
  <c r="U470" i="34"/>
  <c r="U472" i="34"/>
  <c r="U474" i="34"/>
  <c r="U476" i="34"/>
  <c r="U478" i="34"/>
  <c r="U480" i="34"/>
  <c r="U482" i="34"/>
  <c r="U484" i="34"/>
  <c r="U486" i="34"/>
  <c r="U488" i="34"/>
  <c r="U490" i="34"/>
  <c r="U492" i="34"/>
  <c r="U494" i="34"/>
  <c r="U612" i="34"/>
  <c r="U614" i="34"/>
  <c r="U616" i="34"/>
  <c r="U618" i="34"/>
  <c r="U620" i="34"/>
  <c r="U622" i="34"/>
  <c r="U624" i="34"/>
  <c r="U626" i="34"/>
  <c r="U628" i="34"/>
  <c r="U632" i="34"/>
  <c r="U636" i="34"/>
  <c r="U638" i="34"/>
  <c r="U640" i="34"/>
  <c r="U642" i="34"/>
  <c r="U644" i="34"/>
  <c r="U646" i="34"/>
  <c r="U648" i="34"/>
  <c r="U650" i="34"/>
  <c r="U652" i="34"/>
  <c r="U654" i="34"/>
  <c r="U656" i="34"/>
  <c r="U658" i="34"/>
  <c r="U660" i="34"/>
  <c r="U662" i="34"/>
  <c r="U664" i="34"/>
  <c r="U666" i="34"/>
  <c r="U668" i="34"/>
  <c r="U670" i="34"/>
  <c r="U672" i="34"/>
  <c r="U674" i="34"/>
  <c r="U676" i="34"/>
  <c r="U678" i="34"/>
  <c r="U680" i="34"/>
  <c r="U682" i="34"/>
  <c r="U684" i="34"/>
  <c r="U686" i="34"/>
  <c r="U688" i="34"/>
  <c r="U690" i="34"/>
  <c r="U692" i="34"/>
  <c r="U694" i="34"/>
  <c r="U696" i="34"/>
  <c r="U698" i="34"/>
  <c r="U700" i="34"/>
  <c r="U702" i="34"/>
  <c r="U704" i="34"/>
  <c r="U706" i="34"/>
  <c r="U708" i="34"/>
  <c r="U710" i="34"/>
  <c r="U712" i="34"/>
  <c r="U714" i="34"/>
  <c r="U716" i="34"/>
  <c r="U718" i="34"/>
  <c r="U720" i="34"/>
  <c r="U722" i="34"/>
  <c r="U724" i="34"/>
  <c r="U726" i="34"/>
  <c r="U728" i="34"/>
  <c r="U730" i="34"/>
  <c r="U731" i="34"/>
  <c r="U733" i="34"/>
  <c r="U735" i="34"/>
  <c r="U737" i="34"/>
  <c r="U739" i="34"/>
  <c r="U741" i="34"/>
  <c r="U743" i="34"/>
  <c r="U745" i="34"/>
  <c r="U747" i="34"/>
  <c r="U749" i="34"/>
  <c r="U751" i="34"/>
  <c r="U753" i="34"/>
  <c r="U755" i="34"/>
  <c r="U757" i="34"/>
  <c r="U759" i="34"/>
  <c r="U761" i="34"/>
  <c r="U763" i="34"/>
  <c r="U765" i="34"/>
  <c r="U767" i="34"/>
  <c r="U769" i="34"/>
  <c r="U771" i="34"/>
  <c r="U773" i="34"/>
  <c r="U775" i="34"/>
  <c r="U777" i="34"/>
  <c r="U779" i="34"/>
  <c r="U781" i="34"/>
  <c r="U783" i="34"/>
  <c r="U785" i="34"/>
  <c r="U787" i="34"/>
  <c r="U789" i="34"/>
  <c r="U791" i="34"/>
  <c r="U793" i="34"/>
  <c r="U795" i="34"/>
  <c r="U797" i="34"/>
  <c r="U799" i="34"/>
  <c r="U801" i="34"/>
  <c r="U803" i="34"/>
  <c r="U805" i="34"/>
  <c r="U807" i="34"/>
  <c r="U809" i="34"/>
  <c r="U811" i="34"/>
  <c r="U813" i="34"/>
  <c r="U815" i="34"/>
  <c r="U817" i="34"/>
  <c r="U819" i="34"/>
  <c r="U821" i="34"/>
  <c r="U823" i="34"/>
  <c r="U825" i="34"/>
  <c r="U17" i="34"/>
  <c r="U21" i="34"/>
  <c r="U25" i="34"/>
  <c r="U29" i="34"/>
  <c r="U33" i="34"/>
  <c r="U37" i="34"/>
  <c r="U41" i="34"/>
  <c r="U45" i="34"/>
  <c r="U50" i="34"/>
  <c r="U55" i="34"/>
  <c r="U59" i="34"/>
  <c r="U64" i="34"/>
  <c r="U68" i="34"/>
  <c r="U72" i="34"/>
  <c r="U76" i="34"/>
  <c r="U80" i="34"/>
  <c r="U84" i="34"/>
  <c r="U88" i="34"/>
  <c r="U92" i="34"/>
  <c r="U96" i="34"/>
  <c r="U100" i="34"/>
  <c r="U104" i="34"/>
  <c r="U108" i="34"/>
  <c r="U112" i="34"/>
  <c r="U116" i="34"/>
  <c r="U120" i="34"/>
  <c r="U124" i="34"/>
  <c r="U128" i="34"/>
  <c r="U132" i="34"/>
  <c r="U331" i="34"/>
  <c r="U333" i="34"/>
  <c r="U335" i="34"/>
  <c r="U337" i="34"/>
  <c r="U339" i="34"/>
  <c r="U341" i="34"/>
  <c r="U343" i="34"/>
  <c r="U345" i="34"/>
  <c r="U347" i="34"/>
  <c r="U349" i="34"/>
  <c r="U351" i="34"/>
  <c r="U353" i="34"/>
  <c r="U355" i="34"/>
  <c r="U357" i="34"/>
  <c r="U359" i="34"/>
  <c r="U361" i="34"/>
  <c r="U363" i="34"/>
  <c r="U365" i="34"/>
  <c r="U367" i="34"/>
  <c r="U369" i="34"/>
  <c r="U371" i="34"/>
  <c r="U373" i="34"/>
  <c r="U375" i="34"/>
  <c r="U377" i="34"/>
  <c r="U379" i="34"/>
  <c r="U381" i="34"/>
  <c r="U383" i="34"/>
  <c r="U385" i="34"/>
  <c r="U386" i="34"/>
  <c r="U388" i="34"/>
  <c r="U390" i="34"/>
  <c r="U495" i="34"/>
  <c r="U497" i="34"/>
  <c r="U499" i="34"/>
  <c r="U501" i="34"/>
  <c r="U503" i="34"/>
  <c r="U505" i="34"/>
  <c r="U507" i="34"/>
  <c r="U509" i="34"/>
  <c r="U511" i="34"/>
  <c r="U513" i="34"/>
  <c r="U515" i="34"/>
  <c r="U517" i="34"/>
  <c r="U519" i="34"/>
  <c r="U521" i="34"/>
  <c r="U523" i="34"/>
  <c r="U525" i="34"/>
  <c r="U527" i="34"/>
  <c r="U529" i="34"/>
  <c r="U531" i="34"/>
  <c r="U533" i="34"/>
  <c r="U535" i="34"/>
  <c r="U537" i="34"/>
  <c r="U539" i="34"/>
  <c r="U541" i="34"/>
  <c r="U543" i="34"/>
  <c r="U545" i="34"/>
  <c r="U547" i="34"/>
  <c r="U549" i="34"/>
  <c r="U551" i="34"/>
  <c r="U553" i="34"/>
  <c r="U555" i="34"/>
  <c r="U559" i="34"/>
  <c r="U561" i="34"/>
  <c r="U563" i="34"/>
  <c r="U565" i="34"/>
  <c r="U567" i="34"/>
  <c r="U569" i="34"/>
  <c r="U571" i="34"/>
  <c r="U573" i="34"/>
  <c r="U575" i="34"/>
  <c r="U577" i="34"/>
  <c r="U579" i="34"/>
  <c r="U581" i="34"/>
  <c r="U583" i="34"/>
  <c r="U585" i="34"/>
  <c r="U587" i="34"/>
  <c r="U589" i="34"/>
  <c r="U593" i="34"/>
  <c r="U597" i="34"/>
  <c r="U599" i="34"/>
  <c r="U601" i="34"/>
  <c r="U603" i="34"/>
  <c r="U605" i="34"/>
  <c r="U607" i="34"/>
  <c r="U609" i="34"/>
  <c r="U828" i="34"/>
  <c r="U830" i="34"/>
  <c r="U832" i="34"/>
  <c r="U834" i="34"/>
  <c r="U836" i="34"/>
  <c r="U844" i="34"/>
  <c r="U846" i="34"/>
  <c r="U848" i="34"/>
  <c r="U850" i="34"/>
  <c r="U852" i="34"/>
  <c r="U854" i="34"/>
  <c r="U856" i="34"/>
  <c r="U858" i="34"/>
  <c r="U860" i="34"/>
  <c r="U862" i="34"/>
  <c r="U864" i="34"/>
  <c r="U866" i="34"/>
  <c r="U868" i="34"/>
  <c r="U870" i="34"/>
  <c r="U18" i="34"/>
  <c r="U22" i="34"/>
  <c r="U26" i="34"/>
  <c r="U30" i="34"/>
  <c r="U34" i="34"/>
  <c r="U38" i="34"/>
  <c r="U42" i="34"/>
  <c r="U46" i="34"/>
  <c r="U51" i="34"/>
  <c r="U56" i="34"/>
  <c r="U60" i="34"/>
  <c r="U65" i="34"/>
  <c r="U69" i="34"/>
  <c r="U73" i="34"/>
  <c r="U77" i="34"/>
  <c r="U81" i="34"/>
  <c r="U85" i="34"/>
  <c r="U89" i="34"/>
  <c r="U93" i="34"/>
  <c r="U97" i="34"/>
  <c r="U101" i="34"/>
  <c r="U105" i="34"/>
  <c r="U109" i="34"/>
  <c r="U113" i="34"/>
  <c r="U117" i="34"/>
  <c r="U121" i="34"/>
  <c r="U125" i="34"/>
  <c r="U129" i="34"/>
  <c r="U284" i="34"/>
  <c r="U288" i="34"/>
  <c r="U292" i="34"/>
  <c r="U841" i="34"/>
  <c r="U298" i="34"/>
  <c r="U302" i="34"/>
  <c r="U306" i="34"/>
  <c r="U310" i="34"/>
  <c r="U314" i="34"/>
  <c r="U318" i="34"/>
  <c r="U322" i="34"/>
  <c r="U326" i="34"/>
  <c r="U15" i="34"/>
  <c r="U23" i="34"/>
  <c r="U31" i="34"/>
  <c r="U39" i="34"/>
  <c r="U47" i="34"/>
  <c r="U336" i="34"/>
  <c r="U340" i="34"/>
  <c r="U344" i="34"/>
  <c r="U348" i="34"/>
  <c r="U352" i="34"/>
  <c r="U356" i="34"/>
  <c r="U360" i="34"/>
  <c r="U364" i="34"/>
  <c r="U368" i="34"/>
  <c r="U372" i="34"/>
  <c r="U376" i="34"/>
  <c r="U380" i="34"/>
  <c r="U384" i="34"/>
  <c r="U387" i="34"/>
  <c r="U829" i="34"/>
  <c r="U833" i="34"/>
  <c r="U837" i="34"/>
  <c r="U847" i="34"/>
  <c r="U851" i="34"/>
  <c r="U855" i="34"/>
  <c r="U859" i="34"/>
  <c r="U863" i="34"/>
  <c r="U867" i="34"/>
  <c r="U1199" i="34"/>
  <c r="U1201" i="34"/>
  <c r="U1203" i="34"/>
  <c r="U1205" i="34"/>
  <c r="U1207" i="34"/>
  <c r="U1209" i="34"/>
  <c r="U1220" i="34"/>
  <c r="U1222" i="34"/>
  <c r="U1244" i="34"/>
  <c r="U1246" i="34"/>
  <c r="U1248" i="34"/>
  <c r="U1250" i="34"/>
  <c r="U1252" i="34"/>
  <c r="U1254" i="34"/>
  <c r="U1256" i="34"/>
  <c r="U1258" i="34"/>
  <c r="U1260" i="34"/>
  <c r="U1262" i="34"/>
  <c r="U1264" i="34"/>
  <c r="U1266" i="34"/>
  <c r="U1268" i="34"/>
  <c r="U1270" i="34"/>
  <c r="U1272" i="34"/>
  <c r="U1274" i="34"/>
  <c r="U1276" i="34"/>
  <c r="U1278" i="34"/>
  <c r="U1280" i="34"/>
  <c r="U1282" i="34"/>
  <c r="U1284" i="34"/>
  <c r="U1286" i="34"/>
  <c r="U1288" i="34"/>
  <c r="U1290" i="34"/>
  <c r="U1292" i="34"/>
  <c r="U1294" i="34"/>
  <c r="U1296" i="34"/>
  <c r="U1298" i="34"/>
  <c r="U1300" i="34"/>
  <c r="U1302" i="34"/>
  <c r="U1304" i="34"/>
  <c r="U1308" i="34"/>
  <c r="U1312" i="34"/>
  <c r="U1316" i="34"/>
  <c r="U1320" i="34"/>
  <c r="U1324" i="34"/>
  <c r="U1326" i="34"/>
  <c r="U1328" i="34"/>
  <c r="U1332" i="34"/>
  <c r="U1336" i="34"/>
  <c r="U1340" i="34"/>
  <c r="U1344" i="34"/>
  <c r="U1348" i="34"/>
  <c r="U1352" i="34"/>
  <c r="U1356" i="34"/>
  <c r="U1358" i="34"/>
  <c r="U1360" i="34"/>
  <c r="U1362" i="34"/>
  <c r="U1364" i="34"/>
  <c r="U1366" i="34"/>
  <c r="U1368" i="34"/>
  <c r="U1370" i="34"/>
  <c r="U1372" i="34"/>
  <c r="U1376" i="34"/>
  <c r="U1380" i="34"/>
  <c r="U1384" i="34"/>
  <c r="U1388" i="34"/>
  <c r="U1392" i="34"/>
  <c r="U1394" i="34"/>
  <c r="U1396" i="34"/>
  <c r="U52" i="34"/>
  <c r="U57" i="34"/>
  <c r="U62" i="34"/>
  <c r="U70" i="34"/>
  <c r="U78" i="34"/>
  <c r="U86" i="34"/>
  <c r="U94" i="34"/>
  <c r="U102" i="34"/>
  <c r="U110" i="34"/>
  <c r="U118" i="34"/>
  <c r="U126" i="34"/>
  <c r="U330" i="34"/>
  <c r="U393" i="34"/>
  <c r="U397" i="34"/>
  <c r="U401" i="34"/>
  <c r="U405" i="34"/>
  <c r="U409" i="34"/>
  <c r="U413" i="34"/>
  <c r="U417" i="34"/>
  <c r="U421" i="34"/>
  <c r="U425" i="34"/>
  <c r="U429" i="34"/>
  <c r="U433" i="34"/>
  <c r="U437" i="34"/>
  <c r="U441" i="34"/>
  <c r="U445" i="34"/>
  <c r="U449" i="34"/>
  <c r="U453" i="34"/>
  <c r="U457" i="34"/>
  <c r="U461" i="34"/>
  <c r="U465" i="34"/>
  <c r="U469" i="34"/>
  <c r="U473" i="34"/>
  <c r="U477" i="34"/>
  <c r="U481" i="34"/>
  <c r="U485" i="34"/>
  <c r="U489" i="34"/>
  <c r="U493" i="34"/>
  <c r="U498" i="34"/>
  <c r="U502" i="34"/>
  <c r="U506" i="34"/>
  <c r="U510" i="34"/>
  <c r="U514" i="34"/>
  <c r="U518" i="34"/>
  <c r="U522" i="34"/>
  <c r="U526" i="34"/>
  <c r="U530" i="34"/>
  <c r="U534" i="34"/>
  <c r="U540" i="34"/>
  <c r="U548" i="34"/>
  <c r="U552" i="34"/>
  <c r="U560" i="34"/>
  <c r="U564" i="34"/>
  <c r="U568" i="34"/>
  <c r="U572" i="34"/>
  <c r="U576" i="34"/>
  <c r="U580" i="34"/>
  <c r="U584" i="34"/>
  <c r="U590" i="34"/>
  <c r="U592" i="34"/>
  <c r="U598" i="34"/>
  <c r="U602" i="34"/>
  <c r="U606" i="34"/>
  <c r="U610" i="34"/>
  <c r="U613" i="34"/>
  <c r="U617" i="34"/>
  <c r="U621" i="34"/>
  <c r="U625" i="34"/>
  <c r="U629" i="34"/>
  <c r="U631" i="34"/>
  <c r="U637" i="34"/>
  <c r="U641" i="34"/>
  <c r="U645" i="34"/>
  <c r="U649" i="34"/>
  <c r="U653" i="34"/>
  <c r="U657" i="34"/>
  <c r="U661" i="34"/>
  <c r="U665" i="34"/>
  <c r="U669" i="34"/>
  <c r="U673" i="34"/>
  <c r="U677" i="34"/>
  <c r="U681" i="34"/>
  <c r="U685" i="34"/>
  <c r="U689" i="34"/>
  <c r="U693" i="34"/>
  <c r="U697" i="34"/>
  <c r="U701" i="34"/>
  <c r="U705" i="34"/>
  <c r="U709" i="34"/>
  <c r="U713" i="34"/>
  <c r="U717" i="34"/>
  <c r="U721" i="34"/>
  <c r="U725" i="34"/>
  <c r="U729" i="34"/>
  <c r="U732" i="34"/>
  <c r="U736" i="34"/>
  <c r="U740" i="34"/>
  <c r="U744" i="34"/>
  <c r="U748" i="34"/>
  <c r="U752" i="34"/>
  <c r="U756" i="34"/>
  <c r="U760" i="34"/>
  <c r="U764" i="34"/>
  <c r="U768" i="34"/>
  <c r="U772" i="34"/>
  <c r="U776" i="34"/>
  <c r="U780" i="34"/>
  <c r="U784" i="34"/>
  <c r="U788" i="34"/>
  <c r="U792" i="34"/>
  <c r="U796" i="34"/>
  <c r="U800" i="34"/>
  <c r="U804" i="34"/>
  <c r="U808" i="34"/>
  <c r="U812" i="34"/>
  <c r="U816" i="34"/>
  <c r="U820" i="34"/>
  <c r="U824" i="34"/>
  <c r="U871" i="34"/>
  <c r="U873" i="34"/>
  <c r="U875" i="34"/>
  <c r="U877" i="34"/>
  <c r="U879" i="34"/>
  <c r="U881" i="34"/>
  <c r="U883" i="34"/>
  <c r="U885" i="34"/>
  <c r="U887" i="34"/>
  <c r="U889" i="34"/>
  <c r="U891" i="34"/>
  <c r="U893" i="34"/>
  <c r="U895" i="34"/>
  <c r="U897" i="34"/>
  <c r="U899" i="34"/>
  <c r="U901" i="34"/>
  <c r="U903" i="34"/>
  <c r="U905" i="34"/>
  <c r="U907" i="34"/>
  <c r="U909" i="34"/>
  <c r="U911" i="34"/>
  <c r="U913" i="34"/>
  <c r="U915" i="34"/>
  <c r="U917" i="34"/>
  <c r="U919" i="34"/>
  <c r="U921" i="34"/>
  <c r="U923" i="34"/>
  <c r="U925" i="34"/>
  <c r="U927" i="34"/>
  <c r="U929" i="34"/>
  <c r="U931" i="34"/>
  <c r="U933" i="34"/>
  <c r="U935" i="34"/>
  <c r="U937" i="34"/>
  <c r="U939" i="34"/>
  <c r="U941" i="34"/>
  <c r="U943" i="34"/>
  <c r="U945" i="34"/>
  <c r="U947" i="34"/>
  <c r="U949" i="34"/>
  <c r="U951" i="34"/>
  <c r="U953" i="34"/>
  <c r="U955" i="34"/>
  <c r="U957" i="34"/>
  <c r="U959" i="34"/>
  <c r="U961" i="34"/>
  <c r="U963" i="34"/>
  <c r="U965" i="34"/>
  <c r="U967" i="34"/>
  <c r="U969" i="34"/>
  <c r="U971" i="34"/>
  <c r="U973" i="34"/>
  <c r="U975" i="34"/>
  <c r="U977" i="34"/>
  <c r="U979" i="34"/>
  <c r="U981" i="34"/>
  <c r="U983" i="34"/>
  <c r="U985" i="34"/>
  <c r="U987" i="34"/>
  <c r="U989" i="34"/>
  <c r="U991" i="34"/>
  <c r="U993" i="34"/>
  <c r="U995" i="34"/>
  <c r="U997" i="34"/>
  <c r="U999" i="34"/>
  <c r="U1001" i="34"/>
  <c r="U1003" i="34"/>
  <c r="U1005" i="34"/>
  <c r="U1007" i="34"/>
  <c r="U1009" i="34"/>
  <c r="U1011" i="34"/>
  <c r="U1013" i="34"/>
  <c r="U1015" i="34"/>
  <c r="U1017" i="34"/>
  <c r="U1019" i="34"/>
  <c r="U1021" i="34"/>
  <c r="U1023" i="34"/>
  <c r="U1025" i="34"/>
  <c r="U1027" i="34"/>
  <c r="U1029" i="34"/>
  <c r="U1031" i="34"/>
  <c r="U1033" i="34"/>
  <c r="U1035" i="34"/>
  <c r="U1037" i="34"/>
  <c r="U1039" i="34"/>
  <c r="U1041" i="34"/>
  <c r="U1043" i="34"/>
  <c r="U1045" i="34"/>
  <c r="U1047" i="34"/>
  <c r="U1049" i="34"/>
  <c r="U1051" i="34"/>
  <c r="U1053" i="34"/>
  <c r="U1055" i="34"/>
  <c r="U1057" i="34"/>
  <c r="U1059" i="34"/>
  <c r="U1061" i="34"/>
  <c r="U1063" i="34"/>
  <c r="U1065" i="34"/>
  <c r="U1067" i="34"/>
  <c r="U1069" i="34"/>
  <c r="U1071" i="34"/>
  <c r="U1073" i="34"/>
  <c r="U1075" i="34"/>
  <c r="U1077" i="34"/>
  <c r="U1079" i="34"/>
  <c r="U1081" i="34"/>
  <c r="U1083" i="34"/>
  <c r="U1085" i="34"/>
  <c r="U1087" i="34"/>
  <c r="U1089" i="34"/>
  <c r="U1091" i="34"/>
  <c r="U1093" i="34"/>
  <c r="U1095" i="34"/>
  <c r="U1097" i="34"/>
  <c r="U1099" i="34"/>
  <c r="U1101" i="34"/>
  <c r="U1103" i="34"/>
  <c r="U1105" i="34"/>
  <c r="U1107" i="34"/>
  <c r="U1109" i="34"/>
  <c r="U1111" i="34"/>
  <c r="U1113" i="34"/>
  <c r="U1115" i="34"/>
  <c r="U1117" i="34"/>
  <c r="U1119" i="34"/>
  <c r="U1121" i="34"/>
  <c r="U1123" i="34"/>
  <c r="U1125" i="34"/>
  <c r="U1127" i="34"/>
  <c r="U1129" i="34"/>
  <c r="U1131" i="34"/>
  <c r="U1133" i="34"/>
  <c r="U1135" i="34"/>
  <c r="U1137" i="34"/>
  <c r="U1139" i="34"/>
  <c r="U1141" i="34"/>
  <c r="U1143" i="34"/>
  <c r="U1145" i="34"/>
  <c r="U1147" i="34"/>
  <c r="U1149" i="34"/>
  <c r="U1151" i="34"/>
  <c r="U1153" i="34"/>
  <c r="U1155" i="34"/>
  <c r="U1157" i="34"/>
  <c r="U1159" i="34"/>
  <c r="U1161" i="34"/>
  <c r="U1163" i="34"/>
  <c r="U1165" i="34"/>
  <c r="U1167" i="34"/>
  <c r="U1169" i="34"/>
  <c r="U1171" i="34"/>
  <c r="U1173" i="34"/>
  <c r="U1175" i="34"/>
  <c r="U1177" i="34"/>
  <c r="U1179" i="34"/>
  <c r="U1181" i="34"/>
  <c r="U1185" i="34"/>
  <c r="U1187" i="34"/>
  <c r="U1189" i="34"/>
  <c r="U1191" i="34"/>
  <c r="U1193" i="34"/>
  <c r="U1195" i="34"/>
  <c r="U1197" i="34"/>
  <c r="U1212" i="34"/>
  <c r="U1214" i="34"/>
  <c r="U1227" i="34"/>
  <c r="U1229" i="34"/>
  <c r="U1231" i="34"/>
  <c r="U1233" i="34"/>
  <c r="U1235" i="34"/>
  <c r="U1237" i="34"/>
  <c r="U1239" i="34"/>
  <c r="U1241" i="34"/>
  <c r="U19" i="34"/>
  <c r="U27" i="34"/>
  <c r="U35" i="34"/>
  <c r="U43" i="34"/>
  <c r="U334" i="34"/>
  <c r="U338" i="34"/>
  <c r="U342" i="34"/>
  <c r="U346" i="34"/>
  <c r="U350" i="34"/>
  <c r="U354" i="34"/>
  <c r="U358" i="34"/>
  <c r="U362" i="34"/>
  <c r="U366" i="34"/>
  <c r="U370" i="34"/>
  <c r="U374" i="34"/>
  <c r="U378" i="34"/>
  <c r="U382" i="34"/>
  <c r="U842" i="34"/>
  <c r="U389" i="34"/>
  <c r="U827" i="34"/>
  <c r="U831" i="34"/>
  <c r="U835" i="34"/>
  <c r="U845" i="34"/>
  <c r="U849" i="34"/>
  <c r="U853" i="34"/>
  <c r="U857" i="34"/>
  <c r="U861" i="34"/>
  <c r="U865" i="34"/>
  <c r="U869" i="34"/>
  <c r="U1200" i="34"/>
  <c r="U1202" i="34"/>
  <c r="U1206" i="34"/>
  <c r="U1219" i="34"/>
  <c r="U1221" i="34"/>
  <c r="U1223" i="34"/>
  <c r="U1225" i="34"/>
  <c r="U1243" i="34"/>
  <c r="U1245" i="34"/>
  <c r="U1247" i="34"/>
  <c r="U1249" i="34"/>
  <c r="U1251" i="34"/>
  <c r="U1253" i="34"/>
  <c r="U1255" i="34"/>
  <c r="U1257" i="34"/>
  <c r="U1259" i="34"/>
  <c r="U1261" i="34"/>
  <c r="U1263" i="34"/>
  <c r="U1265" i="34"/>
  <c r="U1267" i="34"/>
  <c r="U1269" i="34"/>
  <c r="U1271" i="34"/>
  <c r="U1273" i="34"/>
  <c r="U1275" i="34"/>
  <c r="U1277" i="34"/>
  <c r="U1279" i="34"/>
  <c r="U1281" i="34"/>
  <c r="U1283" i="34"/>
  <c r="U1285" i="34"/>
  <c r="U1287" i="34"/>
  <c r="U1289" i="34"/>
  <c r="U1291" i="34"/>
  <c r="U1293" i="34"/>
  <c r="U1295" i="34"/>
  <c r="U1297" i="34"/>
  <c r="U1299" i="34"/>
  <c r="U1301" i="34"/>
  <c r="U1303" i="34"/>
  <c r="U1337" i="34"/>
  <c r="U1341" i="34"/>
  <c r="U1353" i="34"/>
  <c r="U1361" i="34"/>
  <c r="U1365" i="34"/>
  <c r="U1369" i="34"/>
  <c r="U1373" i="34"/>
  <c r="U391" i="34"/>
  <c r="U399" i="34"/>
  <c r="U407" i="34"/>
  <c r="U415" i="34"/>
  <c r="U423" i="34"/>
  <c r="U431" i="34"/>
  <c r="U439" i="34"/>
  <c r="U447" i="34"/>
  <c r="U455" i="34"/>
  <c r="U463" i="34"/>
  <c r="U471" i="34"/>
  <c r="U479" i="34"/>
  <c r="U487" i="34"/>
  <c r="U538" i="34"/>
  <c r="U550" i="34"/>
  <c r="U594" i="34"/>
  <c r="U600" i="34"/>
  <c r="U608" i="34"/>
  <c r="U874" i="34"/>
  <c r="U878" i="34"/>
  <c r="U882" i="34"/>
  <c r="U886" i="34"/>
  <c r="U890" i="34"/>
  <c r="U894" i="34"/>
  <c r="U898" i="34"/>
  <c r="U902" i="34"/>
  <c r="U906" i="34"/>
  <c r="U910" i="34"/>
  <c r="U914" i="34"/>
  <c r="U918" i="34"/>
  <c r="U922" i="34"/>
  <c r="U926" i="34"/>
  <c r="U930" i="34"/>
  <c r="U934" i="34"/>
  <c r="U938" i="34"/>
  <c r="U942" i="34"/>
  <c r="U946" i="34"/>
  <c r="U950" i="34"/>
  <c r="U954" i="34"/>
  <c r="U958" i="34"/>
  <c r="U962" i="34"/>
  <c r="U966" i="34"/>
  <c r="U970" i="34"/>
  <c r="U974" i="34"/>
  <c r="U978" i="34"/>
  <c r="U982" i="34"/>
  <c r="U986" i="34"/>
  <c r="U990" i="34"/>
  <c r="U994" i="34"/>
  <c r="U998" i="34"/>
  <c r="U1002" i="34"/>
  <c r="U1006" i="34"/>
  <c r="U1010" i="34"/>
  <c r="U1014" i="34"/>
  <c r="U1018" i="34"/>
  <c r="U1022" i="34"/>
  <c r="U1026" i="34"/>
  <c r="U1030" i="34"/>
  <c r="U1034" i="34"/>
  <c r="U1038" i="34"/>
  <c r="U1042" i="34"/>
  <c r="U1046" i="34"/>
  <c r="U1050" i="34"/>
  <c r="U1054" i="34"/>
  <c r="U1058" i="34"/>
  <c r="U1062" i="34"/>
  <c r="U1066" i="34"/>
  <c r="U1070" i="34"/>
  <c r="U1074" i="34"/>
  <c r="U1078" i="34"/>
  <c r="U1082" i="34"/>
  <c r="U1086" i="34"/>
  <c r="U1090" i="34"/>
  <c r="U1094" i="34"/>
  <c r="U1098" i="34"/>
  <c r="U1102" i="34"/>
  <c r="U1106" i="34"/>
  <c r="U1110" i="34"/>
  <c r="U1114" i="34"/>
  <c r="U1118" i="34"/>
  <c r="U1126" i="34"/>
  <c r="U1130" i="34"/>
  <c r="U1134" i="34"/>
  <c r="U1142" i="34"/>
  <c r="U1146" i="34"/>
  <c r="U1150" i="34"/>
  <c r="U1170" i="34"/>
  <c r="U1174" i="34"/>
  <c r="U1178" i="34"/>
  <c r="U1184" i="34"/>
  <c r="U1188" i="34"/>
  <c r="U1192" i="34"/>
  <c r="U1196" i="34"/>
  <c r="U1211" i="34"/>
  <c r="U1215" i="34"/>
  <c r="U1217" i="34"/>
  <c r="U1230" i="34"/>
  <c r="U1389" i="34"/>
  <c r="U1395" i="34"/>
  <c r="U74" i="34"/>
  <c r="U90" i="34"/>
  <c r="U106" i="34"/>
  <c r="U122" i="34"/>
  <c r="U500" i="34"/>
  <c r="U508" i="34"/>
  <c r="U516" i="34"/>
  <c r="U524" i="34"/>
  <c r="U532" i="34"/>
  <c r="U558" i="34"/>
  <c r="U566" i="34"/>
  <c r="U574" i="34"/>
  <c r="U582" i="34"/>
  <c r="U615" i="34"/>
  <c r="U623" i="34"/>
  <c r="U639" i="34"/>
  <c r="U647" i="34"/>
  <c r="U655" i="34"/>
  <c r="U663" i="34"/>
  <c r="U671" i="34"/>
  <c r="U679" i="34"/>
  <c r="U687" i="34"/>
  <c r="U695" i="34"/>
  <c r="U703" i="34"/>
  <c r="U711" i="34"/>
  <c r="U719" i="34"/>
  <c r="U727" i="34"/>
  <c r="U734" i="34"/>
  <c r="U742" i="34"/>
  <c r="U750" i="34"/>
  <c r="U758" i="34"/>
  <c r="U766" i="34"/>
  <c r="U774" i="34"/>
  <c r="U782" i="34"/>
  <c r="U790" i="34"/>
  <c r="U798" i="34"/>
  <c r="U806" i="34"/>
  <c r="U814" i="34"/>
  <c r="U822" i="34"/>
  <c r="U53" i="34"/>
  <c r="U395" i="34"/>
  <c r="U403" i="34"/>
  <c r="U411" i="34"/>
  <c r="U419" i="34"/>
  <c r="U427" i="34"/>
  <c r="U435" i="34"/>
  <c r="U443" i="34"/>
  <c r="U451" i="34"/>
  <c r="U459" i="34"/>
  <c r="U467" i="34"/>
  <c r="U475" i="34"/>
  <c r="U483" i="34"/>
  <c r="U491" i="34"/>
  <c r="U542" i="34"/>
  <c r="U596" i="34"/>
  <c r="U604" i="34"/>
  <c r="U872" i="34"/>
  <c r="U876" i="34"/>
  <c r="U880" i="34"/>
  <c r="U884" i="34"/>
  <c r="U888" i="34"/>
  <c r="U892" i="34"/>
  <c r="U896" i="34"/>
  <c r="U900" i="34"/>
  <c r="U904" i="34"/>
  <c r="U908" i="34"/>
  <c r="U912" i="34"/>
  <c r="U916" i="34"/>
  <c r="U920" i="34"/>
  <c r="U924" i="34"/>
  <c r="U928" i="34"/>
  <c r="U932" i="34"/>
  <c r="U936" i="34"/>
  <c r="U940" i="34"/>
  <c r="U944" i="34"/>
  <c r="U948" i="34"/>
  <c r="U952" i="34"/>
  <c r="U956" i="34"/>
  <c r="U960" i="34"/>
  <c r="U964" i="34"/>
  <c r="U968" i="34"/>
  <c r="U972" i="34"/>
  <c r="U976" i="34"/>
  <c r="U980" i="34"/>
  <c r="U984" i="34"/>
  <c r="U988" i="34"/>
  <c r="U992" i="34"/>
  <c r="U996" i="34"/>
  <c r="U1000" i="34"/>
  <c r="U1004" i="34"/>
  <c r="U1008" i="34"/>
  <c r="U1012" i="34"/>
  <c r="U1016" i="34"/>
  <c r="U1020" i="34"/>
  <c r="U1024" i="34"/>
  <c r="U1028" i="34"/>
  <c r="U1032" i="34"/>
  <c r="U1036" i="34"/>
  <c r="U1040" i="34"/>
  <c r="U1044" i="34"/>
  <c r="U1048" i="34"/>
  <c r="U1052" i="34"/>
  <c r="U1056" i="34"/>
  <c r="U1060" i="34"/>
  <c r="U1064" i="34"/>
  <c r="U1068" i="34"/>
  <c r="U1072" i="34"/>
  <c r="U1076" i="34"/>
  <c r="U1080" i="34"/>
  <c r="U1084" i="34"/>
  <c r="U1088" i="34"/>
  <c r="U1092" i="34"/>
  <c r="U1096" i="34"/>
  <c r="U1100" i="34"/>
  <c r="U1104" i="34"/>
  <c r="U1108" i="34"/>
  <c r="U1112" i="34"/>
  <c r="U1116" i="34"/>
  <c r="U1120" i="34"/>
  <c r="U1124" i="34"/>
  <c r="U1132" i="34"/>
  <c r="U1136" i="34"/>
  <c r="U1140" i="34"/>
  <c r="U1144" i="34"/>
  <c r="U1152" i="34"/>
  <c r="U1156" i="34"/>
  <c r="U1160" i="34"/>
  <c r="U1164" i="34"/>
  <c r="U1186" i="34"/>
  <c r="U1194" i="34"/>
  <c r="U1213" i="34"/>
  <c r="U1228" i="34"/>
  <c r="U1232" i="34"/>
  <c r="U1236" i="34"/>
  <c r="U1240" i="34"/>
  <c r="U1385" i="34"/>
  <c r="U1393" i="34"/>
  <c r="U66" i="34"/>
  <c r="U82" i="34"/>
  <c r="U98" i="34"/>
  <c r="U114" i="34"/>
  <c r="U130" i="34"/>
  <c r="U496" i="34"/>
  <c r="U504" i="34"/>
  <c r="U512" i="34"/>
  <c r="U520" i="34"/>
  <c r="U528" i="34"/>
  <c r="U556" i="34"/>
  <c r="U562" i="34"/>
  <c r="U570" i="34"/>
  <c r="U578" i="34"/>
  <c r="U586" i="34"/>
  <c r="U611" i="34"/>
  <c r="U619" i="34"/>
  <c r="U627" i="34"/>
  <c r="U633" i="34"/>
  <c r="U635" i="34"/>
  <c r="U643" i="34"/>
  <c r="U651" i="34"/>
  <c r="U659" i="34"/>
  <c r="U667" i="34"/>
  <c r="U675" i="34"/>
  <c r="U683" i="34"/>
  <c r="U691" i="34"/>
  <c r="U699" i="34"/>
  <c r="U707" i="34"/>
  <c r="U715" i="34"/>
  <c r="U723" i="34"/>
  <c r="U843" i="34"/>
  <c r="U738" i="34"/>
  <c r="U746" i="34"/>
  <c r="U754" i="34"/>
  <c r="U762" i="34"/>
  <c r="U770" i="34"/>
  <c r="U778" i="34"/>
  <c r="U786" i="34"/>
  <c r="U794" i="34"/>
  <c r="U802" i="34"/>
  <c r="U810" i="34"/>
  <c r="U818" i="34"/>
  <c r="E38" i="71"/>
  <c r="F51" i="71"/>
  <c r="K47" i="55"/>
  <c r="I109" i="60"/>
  <c r="A17" i="14"/>
  <c r="A21" i="14"/>
  <c r="A16" i="55"/>
  <c r="C15" i="14"/>
  <c r="C17" i="14"/>
  <c r="B17" i="14"/>
  <c r="G17" i="14"/>
  <c r="F15" i="14"/>
  <c r="C14" i="14"/>
  <c r="E17" i="14"/>
  <c r="G20" i="14"/>
  <c r="A19" i="14"/>
  <c r="A18" i="14"/>
  <c r="F21" i="14"/>
  <c r="K11" i="55"/>
  <c r="K14" i="55" s="1"/>
  <c r="G24" i="71"/>
  <c r="E21" i="71"/>
  <c r="G14" i="71"/>
  <c r="C18" i="71"/>
  <c r="E27" i="71"/>
  <c r="A30" i="71"/>
  <c r="B36" i="14"/>
  <c r="F25" i="14"/>
  <c r="G31" i="14"/>
  <c r="A47" i="14"/>
  <c r="D42" i="14"/>
  <c r="D43" i="14"/>
  <c r="B36" i="71"/>
  <c r="C54" i="71"/>
  <c r="K100" i="55"/>
  <c r="K136" i="55"/>
  <c r="K115" i="55"/>
  <c r="K155" i="55"/>
  <c r="I176" i="55" a="1"/>
  <c r="I176" i="55" s="1"/>
  <c r="I144" i="55" a="1"/>
  <c r="I144" i="55" s="1"/>
  <c r="I175" i="55" a="1"/>
  <c r="I175" i="55" s="1"/>
  <c r="K175" i="55" s="1"/>
  <c r="G177" i="55" a="1"/>
  <c r="G177" i="55" s="1"/>
  <c r="I179" i="55" a="1"/>
  <c r="I179" i="55" s="1"/>
  <c r="I143" i="55" a="1"/>
  <c r="I143" i="55" s="1"/>
  <c r="K143" i="55" s="1"/>
  <c r="I133" i="55" a="1"/>
  <c r="I133" i="55" s="1"/>
  <c r="K133" i="55" s="1"/>
  <c r="G112" i="55" a="1"/>
  <c r="G112" i="55" s="1"/>
  <c r="K112" i="55" s="1"/>
  <c r="I152" i="55" a="1"/>
  <c r="I152" i="55" s="1"/>
  <c r="G127" i="55" a="1"/>
  <c r="G127" i="55" s="1"/>
  <c r="I82" i="55" a="1"/>
  <c r="I82" i="55" s="1"/>
  <c r="I126" i="55" a="1"/>
  <c r="I126" i="55" s="1"/>
  <c r="I47" i="55" a="1"/>
  <c r="I47" i="55" s="1"/>
  <c r="G27" i="55" a="1"/>
  <c r="G27" i="55" s="1"/>
  <c r="G46" i="55" a="1"/>
  <c r="G46" i="55" s="1"/>
  <c r="G167" i="55" a="1"/>
  <c r="G167" i="55" s="1"/>
  <c r="G154" i="55" a="1"/>
  <c r="G154" i="55" s="1"/>
  <c r="G149" i="55" a="1"/>
  <c r="G149" i="55" s="1"/>
  <c r="I101" i="55" a="1"/>
  <c r="I101" i="55" s="1"/>
  <c r="G60" i="55" a="1"/>
  <c r="G60" i="55" s="1"/>
  <c r="K60" i="55" s="1"/>
  <c r="I132" i="55" a="1"/>
  <c r="I132" i="55" s="1"/>
  <c r="I76" i="55" a="1"/>
  <c r="I76" i="55" s="1"/>
  <c r="I46" i="55" a="1"/>
  <c r="I46" i="55" s="1"/>
  <c r="I167" i="55" a="1"/>
  <c r="I167" i="55" s="1"/>
  <c r="G150" i="55" a="1"/>
  <c r="G150" i="55" s="1"/>
  <c r="G165" i="55" a="1"/>
  <c r="G165" i="55" s="1"/>
  <c r="I146" i="55" a="1"/>
  <c r="I146" i="55" s="1"/>
  <c r="G82" i="55" a="1"/>
  <c r="G82" i="55" s="1"/>
  <c r="K82" i="55" s="1"/>
  <c r="G145" i="55" a="1"/>
  <c r="G145" i="55" s="1"/>
  <c r="G153" i="55" a="1"/>
  <c r="G153" i="55" s="1"/>
  <c r="G116" i="55" a="1"/>
  <c r="G116" i="55" s="1"/>
  <c r="I118" i="55" a="1"/>
  <c r="I118" i="55" s="1"/>
  <c r="G66" i="55" a="1"/>
  <c r="G66" i="55" s="1"/>
  <c r="K66" i="55" s="1"/>
  <c r="G166" i="55" a="1"/>
  <c r="G166" i="55" s="1"/>
  <c r="I30" i="55" a="1"/>
  <c r="I30" i="55" s="1"/>
  <c r="G76" i="55" a="1"/>
  <c r="G76" i="55" s="1"/>
  <c r="K76" i="55" s="1"/>
  <c r="I26" i="55" a="1"/>
  <c r="I26" i="55" s="1"/>
  <c r="G130" i="55" a="1"/>
  <c r="G130" i="55" s="1"/>
  <c r="K130" i="55" s="1"/>
  <c r="G89" i="55" a="1"/>
  <c r="G89" i="55" s="1"/>
  <c r="K89" i="55" s="1"/>
  <c r="I57" i="55" a="1"/>
  <c r="I57" i="55" s="1"/>
  <c r="G64" i="55" a="1"/>
  <c r="G64" i="55" s="1"/>
  <c r="K64" i="55" s="1"/>
  <c r="I79" i="55" a="1"/>
  <c r="I79" i="55" s="1"/>
  <c r="G168" i="55" a="1"/>
  <c r="G168" i="55" s="1"/>
  <c r="K168" i="55" s="1"/>
  <c r="I27" i="55" a="1"/>
  <c r="I27" i="55" s="1"/>
  <c r="I36" i="55" a="1"/>
  <c r="I36" i="55" s="1"/>
  <c r="G31" i="55" a="1"/>
  <c r="G31" i="55" s="1"/>
  <c r="G86" i="55" a="1"/>
  <c r="G86" i="55" s="1"/>
  <c r="K86" i="55" s="1"/>
  <c r="I111" i="55" a="1"/>
  <c r="I111" i="55" s="1"/>
  <c r="K111" i="55" s="1"/>
  <c r="I136" i="55" a="1"/>
  <c r="I136" i="55" s="1"/>
  <c r="I70" i="55" a="1"/>
  <c r="I70" i="55" s="1"/>
  <c r="I56" i="55" a="1"/>
  <c r="I56" i="55" s="1"/>
  <c r="I102" i="55" a="1"/>
  <c r="I102" i="55" s="1"/>
  <c r="K102" i="55" s="1"/>
  <c r="G118" i="55" a="1"/>
  <c r="G118" i="55" s="1"/>
  <c r="G106" i="55" a="1"/>
  <c r="G106" i="55" s="1"/>
  <c r="G138" i="55" a="1"/>
  <c r="G138" i="55" s="1"/>
  <c r="G109" i="55" a="1"/>
  <c r="G109" i="55" s="1"/>
  <c r="K109" i="55" s="1"/>
  <c r="I174" i="55" a="1"/>
  <c r="I174" i="55" s="1"/>
  <c r="G144" i="55" a="1"/>
  <c r="G144" i="55" s="1"/>
  <c r="K144" i="55" s="1"/>
  <c r="G148" i="55" a="1"/>
  <c r="G148" i="55" s="1"/>
  <c r="G178" i="55" a="1"/>
  <c r="G178" i="55" s="1"/>
  <c r="G152" i="55" a="1"/>
  <c r="G152" i="55" s="1"/>
  <c r="I49" i="55" a="1"/>
  <c r="I49" i="55" s="1"/>
  <c r="I83" i="55" a="1"/>
  <c r="I83" i="55" s="1"/>
  <c r="I97" i="55" a="1"/>
  <c r="I97" i="55" s="1"/>
  <c r="G99" i="55" a="1"/>
  <c r="G99" i="55" s="1"/>
  <c r="K99" i="55" s="1"/>
  <c r="G96" i="55" a="1"/>
  <c r="G96" i="55" s="1"/>
  <c r="G84" i="55" a="1"/>
  <c r="G84" i="55" s="1"/>
  <c r="K84" i="55" s="1"/>
  <c r="I43" i="55" a="1"/>
  <c r="I43" i="55" s="1"/>
  <c r="I40" i="55" a="1"/>
  <c r="I40" i="55" s="1"/>
  <c r="K40" i="55" s="1"/>
  <c r="I121" i="55" a="1"/>
  <c r="I121" i="55" s="1"/>
  <c r="K121" i="55" s="1"/>
  <c r="G45" i="55" a="1"/>
  <c r="G45" i="55" s="1"/>
  <c r="G75" i="55" a="1"/>
  <c r="G75" i="55" s="1"/>
  <c r="G137" i="55" a="1"/>
  <c r="G137" i="55" s="1"/>
  <c r="K137" i="55" s="1"/>
  <c r="G132" i="55" a="1"/>
  <c r="G132" i="55" s="1"/>
  <c r="I127" i="55" a="1"/>
  <c r="I127" i="55" s="1"/>
  <c r="G103" i="55" a="1"/>
  <c r="G103" i="55" s="1"/>
  <c r="K103" i="55" s="1"/>
  <c r="G146" i="55" a="1"/>
  <c r="G146" i="55" s="1"/>
  <c r="K146" i="55" s="1"/>
  <c r="G113" i="55" a="1"/>
  <c r="G113" i="55" s="1"/>
  <c r="I45" i="55" a="1"/>
  <c r="I45" i="55" s="1"/>
  <c r="I75" i="55" a="1"/>
  <c r="I75" i="55" s="1"/>
  <c r="G69" i="55" a="1"/>
  <c r="G69" i="55" s="1"/>
  <c r="K69" i="55" s="1"/>
  <c r="I151" i="55" a="1"/>
  <c r="I151" i="55" s="1"/>
  <c r="I78" i="55" a="1"/>
  <c r="I78" i="55" s="1"/>
  <c r="G30" i="55" a="1"/>
  <c r="G30" i="55" s="1"/>
  <c r="I125" i="55" a="1"/>
  <c r="I125" i="55" s="1"/>
  <c r="G169" i="55" a="1"/>
  <c r="G169" i="55" s="1"/>
  <c r="I106" i="55" a="1"/>
  <c r="I106" i="55" s="1"/>
  <c r="G26" i="55" a="1"/>
  <c r="G26" i="55" s="1"/>
  <c r="I135" i="55" a="1"/>
  <c r="I135" i="55" s="1"/>
  <c r="I73" i="55" a="1"/>
  <c r="I73" i="55" s="1"/>
  <c r="I116" i="55" a="1"/>
  <c r="I116" i="55" s="1"/>
  <c r="G151" i="55" a="1"/>
  <c r="G151" i="55" s="1"/>
  <c r="K151" i="55" s="1"/>
  <c r="G110" i="55" a="1"/>
  <c r="G110" i="55" s="1"/>
  <c r="I60" i="55" a="1"/>
  <c r="I60" i="55" s="1"/>
  <c r="G131" i="55" a="1"/>
  <c r="G131" i="55" s="1"/>
  <c r="K131" i="55" s="1"/>
  <c r="I38" i="55" a="1"/>
  <c r="I38" i="55" s="1"/>
  <c r="I85" i="55" a="1"/>
  <c r="I85" i="55" s="1"/>
  <c r="K85" i="55" s="1"/>
  <c r="I166" i="55" a="1"/>
  <c r="I166" i="55" s="1"/>
  <c r="I58" i="55" a="1"/>
  <c r="I58" i="55" s="1"/>
  <c r="G126" i="55" a="1"/>
  <c r="G126" i="55" s="1"/>
  <c r="K126" i="55" s="1"/>
  <c r="G163" i="55" a="1"/>
  <c r="G163" i="55" s="1"/>
  <c r="G117" i="55" a="1"/>
  <c r="G117" i="55" s="1"/>
  <c r="G68" i="55" a="1"/>
  <c r="G68" i="55" s="1"/>
  <c r="G162" i="55" a="1"/>
  <c r="G162" i="55" s="1"/>
  <c r="I138" i="55" a="1"/>
  <c r="I138" i="55" s="1"/>
  <c r="I109" i="55" a="1"/>
  <c r="I109" i="55" s="1"/>
  <c r="I65" i="55" a="1"/>
  <c r="I65" i="55" s="1"/>
  <c r="I178" i="55" a="1"/>
  <c r="I178" i="55" s="1"/>
  <c r="I148" i="55" a="1"/>
  <c r="I148" i="55" s="1"/>
  <c r="G176" i="55" a="1"/>
  <c r="G176" i="55" s="1"/>
  <c r="K176" i="55" s="1"/>
  <c r="I110" i="55" a="1"/>
  <c r="I110" i="55" s="1"/>
  <c r="I170" i="55" a="1"/>
  <c r="I170" i="55" s="1"/>
  <c r="I62" i="55" a="1"/>
  <c r="I62" i="55" s="1"/>
  <c r="I163" i="55" a="1"/>
  <c r="I163" i="55" s="1"/>
  <c r="I81" i="55" a="1"/>
  <c r="I81" i="55" s="1"/>
  <c r="K81" i="55" s="1"/>
  <c r="I88" i="55" a="1"/>
  <c r="I88" i="55" s="1"/>
  <c r="K88" i="55" s="1"/>
  <c r="I155" i="55" a="1"/>
  <c r="I155" i="55" s="1"/>
  <c r="I128" i="55" a="1"/>
  <c r="I128" i="55" s="1"/>
  <c r="G79" i="55" a="1"/>
  <c r="G79" i="55" s="1"/>
  <c r="K79" i="55" s="1"/>
  <c r="I80" i="55" a="1"/>
  <c r="I80" i="55" s="1"/>
  <c r="K80" i="55" s="1"/>
  <c r="I98" i="55" a="1"/>
  <c r="I98" i="55" s="1"/>
  <c r="K98" i="55" s="1"/>
  <c r="G159" i="55" a="1"/>
  <c r="G159" i="55" s="1"/>
  <c r="G94" i="55" a="1"/>
  <c r="G94" i="55" s="1"/>
  <c r="K94" i="55" s="1"/>
  <c r="I63" i="55" a="1"/>
  <c r="I63" i="55" s="1"/>
  <c r="I145" i="55" a="1"/>
  <c r="I145" i="55" s="1"/>
  <c r="G164" i="55" a="1"/>
  <c r="G164" i="55" s="1"/>
  <c r="G83" i="55" a="1"/>
  <c r="G83" i="55" s="1"/>
  <c r="K83" i="55" s="1"/>
  <c r="G170" i="55" a="1"/>
  <c r="G170" i="55" s="1"/>
  <c r="K170" i="55" s="1"/>
  <c r="I42" i="55" a="1"/>
  <c r="I42" i="55" s="1"/>
  <c r="G25" i="55" a="1"/>
  <c r="G25" i="55" s="1"/>
  <c r="G105" i="55" a="1"/>
  <c r="G105" i="55" s="1"/>
  <c r="G171" i="55" a="1"/>
  <c r="G171" i="55" s="1"/>
  <c r="K171" i="55" s="1"/>
  <c r="I32" i="55" a="1"/>
  <c r="I32" i="55" s="1"/>
  <c r="I33" i="55" a="1"/>
  <c r="I33" i="55" s="1"/>
  <c r="K33" i="55" s="1"/>
  <c r="G52" i="55" a="1"/>
  <c r="G52" i="55" s="1"/>
  <c r="I67" i="55" a="1"/>
  <c r="I67" i="55" s="1"/>
  <c r="K67" i="55" s="1"/>
  <c r="G37" i="55" a="1"/>
  <c r="G37" i="55" s="1"/>
  <c r="G70" i="55" a="1"/>
  <c r="G70" i="55" s="1"/>
  <c r="K70" i="55" s="1"/>
  <c r="G140" i="55" a="1"/>
  <c r="G140" i="55" s="1"/>
  <c r="I124" i="55" a="1"/>
  <c r="I124" i="55" s="1"/>
  <c r="I34" i="55" a="1"/>
  <c r="I34" i="55" s="1"/>
  <c r="I123" i="55" a="1"/>
  <c r="I123" i="55" s="1"/>
  <c r="G124" i="55" a="1"/>
  <c r="G124" i="55" s="1"/>
  <c r="G34" i="55" a="1"/>
  <c r="G34" i="55" s="1"/>
  <c r="K34" i="55" s="1"/>
  <c r="G36" i="55" a="1"/>
  <c r="G36" i="55" s="1"/>
  <c r="K36" i="55" s="1"/>
  <c r="I105" i="55" a="1"/>
  <c r="I105" i="55" s="1"/>
  <c r="I74" i="55" a="1"/>
  <c r="I74" i="55" s="1"/>
  <c r="I120" i="55" a="1"/>
  <c r="I120" i="55" s="1"/>
  <c r="I12" i="55" a="1"/>
  <c r="I12" i="55" s="1"/>
  <c r="K12" i="55" s="1"/>
  <c r="G28" i="55" a="1"/>
  <c r="G28" i="55" s="1"/>
  <c r="G174" i="55" a="1"/>
  <c r="G174" i="55" s="1"/>
  <c r="G179" i="55" a="1"/>
  <c r="G179" i="55" s="1"/>
  <c r="I180" i="55" a="1"/>
  <c r="I180" i="55" s="1"/>
  <c r="I59" i="55" a="1"/>
  <c r="I59" i="55" s="1"/>
  <c r="K59" i="55" s="1"/>
  <c r="G125" i="55" a="1"/>
  <c r="G125" i="55" s="1"/>
  <c r="G101" i="55" a="1"/>
  <c r="G101" i="55" s="1"/>
  <c r="I25" i="55" a="1"/>
  <c r="I25" i="55" s="1"/>
  <c r="I164" i="55" a="1"/>
  <c r="I164" i="55" s="1"/>
  <c r="G93" i="55" a="1"/>
  <c r="G93" i="55" s="1"/>
  <c r="I172" i="55" a="1"/>
  <c r="I172" i="55" s="1"/>
  <c r="K172" i="55" s="1"/>
  <c r="I104" i="55" a="1"/>
  <c r="I104" i="55" s="1"/>
  <c r="K104" i="55" s="1"/>
  <c r="G90" i="55" a="1"/>
  <c r="G90" i="55" s="1"/>
  <c r="I93" i="55" a="1"/>
  <c r="I93" i="55" s="1"/>
  <c r="G41" i="55" a="1"/>
  <c r="G41" i="55" s="1"/>
  <c r="G62" i="55" a="1"/>
  <c r="G62" i="55" s="1"/>
  <c r="K62" i="55" s="1"/>
  <c r="G91" i="55" a="1"/>
  <c r="G91" i="55" s="1"/>
  <c r="I165" i="55" a="1"/>
  <c r="I165" i="55" s="1"/>
  <c r="G63" i="55" a="1"/>
  <c r="G63" i="55" s="1"/>
  <c r="K63" i="55" s="1"/>
  <c r="I153" i="55" a="1"/>
  <c r="I153" i="55" s="1"/>
  <c r="G49" i="55" a="1"/>
  <c r="G49" i="55" s="1"/>
  <c r="K49" i="55" s="1"/>
  <c r="G97" i="55" a="1"/>
  <c r="G97" i="55" s="1"/>
  <c r="I44" i="55" a="1"/>
  <c r="I44" i="55" s="1"/>
  <c r="K44" i="55" s="1"/>
  <c r="G134" i="55" a="1"/>
  <c r="G134" i="55" s="1"/>
  <c r="K134" i="55" s="1"/>
  <c r="G43" i="55" a="1"/>
  <c r="G43" i="55" s="1"/>
  <c r="G74" i="55" a="1"/>
  <c r="G74" i="55" s="1"/>
  <c r="I37" i="55" a="1"/>
  <c r="I37" i="55" s="1"/>
  <c r="I77" i="55" a="1"/>
  <c r="I77" i="55" s="1"/>
  <c r="K77" i="55" s="1"/>
  <c r="I119" i="55" a="1"/>
  <c r="I119" i="55" s="1"/>
  <c r="G58" i="55" a="1"/>
  <c r="G58" i="55" s="1"/>
  <c r="K58" i="55" s="1"/>
  <c r="G42" i="55" a="1"/>
  <c r="G42" i="55" s="1"/>
  <c r="K42" i="55" s="1"/>
  <c r="G147" i="55" a="1"/>
  <c r="G147" i="55" s="1"/>
  <c r="K147" i="55" s="1"/>
  <c r="G158" i="55" a="1"/>
  <c r="G158" i="55" s="1"/>
  <c r="K158" i="55" s="1"/>
  <c r="I171" i="55" a="1"/>
  <c r="I171" i="55" s="1"/>
  <c r="I95" i="55" a="1"/>
  <c r="I95" i="55" s="1"/>
  <c r="I107" i="55" a="1"/>
  <c r="I107" i="55" s="1"/>
  <c r="I140" i="55" a="1"/>
  <c r="I140" i="55" s="1"/>
  <c r="G135" i="55" a="1"/>
  <c r="G135" i="55" s="1"/>
  <c r="K135" i="55" s="1"/>
  <c r="G173" i="55" a="1"/>
  <c r="G173" i="55" s="1"/>
  <c r="K173" i="55" s="1"/>
  <c r="G107" i="55" a="1"/>
  <c r="G107" i="55" s="1"/>
  <c r="K107" i="55" s="1"/>
  <c r="G56" i="55" a="1"/>
  <c r="G56" i="55" s="1"/>
  <c r="K56" i="55" s="1"/>
  <c r="I149" i="55" a="1"/>
  <c r="I149" i="55" s="1"/>
  <c r="K149" i="55" s="1"/>
  <c r="I68" i="55" a="1"/>
  <c r="I68" i="55" s="1"/>
  <c r="I162" i="55" a="1"/>
  <c r="I162" i="55" s="1"/>
  <c r="G55" i="55" a="1"/>
  <c r="G55" i="55" s="1"/>
  <c r="K55" i="55" s="1"/>
  <c r="I122" i="60"/>
  <c r="K119" i="55"/>
  <c r="D16" i="14"/>
  <c r="E18" i="14"/>
  <c r="D19" i="14"/>
  <c r="B19" i="14"/>
  <c r="F14" i="14"/>
  <c r="C19" i="14"/>
  <c r="G16" i="14"/>
  <c r="C20" i="14"/>
  <c r="B28" i="55"/>
  <c r="G19" i="14"/>
  <c r="B14" i="14"/>
  <c r="B15" i="14"/>
  <c r="G15" i="14"/>
  <c r="F16" i="14"/>
  <c r="D17" i="14"/>
  <c r="G14" i="14"/>
  <c r="I14" i="14" s="1"/>
  <c r="C18" i="14"/>
  <c r="A15" i="14"/>
  <c r="G21" i="14"/>
  <c r="B21" i="14"/>
  <c r="U12" i="34"/>
  <c r="G28" i="71"/>
  <c r="B20" i="71"/>
  <c r="C30" i="71"/>
  <c r="E16" i="71"/>
  <c r="B26" i="71"/>
  <c r="D23" i="71"/>
  <c r="E31" i="14"/>
  <c r="E32" i="14"/>
  <c r="E34" i="14"/>
  <c r="G48" i="14"/>
  <c r="G37" i="14"/>
  <c r="F46" i="14"/>
  <c r="Y133" i="34"/>
  <c r="Y135" i="34"/>
  <c r="Y137" i="34"/>
  <c r="Y139" i="34"/>
  <c r="Y141" i="34"/>
  <c r="Y143" i="34"/>
  <c r="Y145" i="34"/>
  <c r="Y147" i="34"/>
  <c r="Y149" i="34"/>
  <c r="Y151" i="34"/>
  <c r="Y153" i="34"/>
  <c r="Y155" i="34"/>
  <c r="Y157" i="34"/>
  <c r="Y159" i="34"/>
  <c r="Y161" i="34"/>
  <c r="Y163" i="34"/>
  <c r="Y165" i="34"/>
  <c r="Y167" i="34"/>
  <c r="Y169" i="34"/>
  <c r="Y171" i="34"/>
  <c r="Y173" i="34"/>
  <c r="Y175" i="34"/>
  <c r="Y177" i="34"/>
  <c r="Y179" i="34"/>
  <c r="Y181" i="34"/>
  <c r="Y183" i="34"/>
  <c r="Y185" i="34"/>
  <c r="Y187" i="34"/>
  <c r="Y189" i="34"/>
  <c r="Y838" i="34"/>
  <c r="Y192" i="34"/>
  <c r="Y194" i="34"/>
  <c r="Y196" i="34"/>
  <c r="Y198" i="34"/>
  <c r="Y200" i="34"/>
  <c r="Y202" i="34"/>
  <c r="Y204" i="34"/>
  <c r="Y206" i="34"/>
  <c r="Y839" i="34"/>
  <c r="Y209" i="34"/>
  <c r="Y211" i="34"/>
  <c r="Y213" i="34"/>
  <c r="Y215" i="34"/>
  <c r="Y217" i="34"/>
  <c r="Y219" i="34"/>
  <c r="Y221" i="34"/>
  <c r="Y223" i="34"/>
  <c r="Y225" i="34"/>
  <c r="Y227" i="34"/>
  <c r="Y229" i="34"/>
  <c r="Y231" i="34"/>
  <c r="Y233" i="34"/>
  <c r="Y235" i="34"/>
  <c r="Y237" i="34"/>
  <c r="Y239" i="34"/>
  <c r="Y241" i="34"/>
  <c r="Y243" i="34"/>
  <c r="Y245" i="34"/>
  <c r="Y247" i="34"/>
  <c r="Y249" i="34"/>
  <c r="Y251" i="34"/>
  <c r="Y253" i="34"/>
  <c r="Y255" i="34"/>
  <c r="Y257" i="34"/>
  <c r="Y259" i="34"/>
  <c r="Y261" i="34"/>
  <c r="Y263" i="34"/>
  <c r="Y265" i="34"/>
  <c r="Y267" i="34"/>
  <c r="Y269" i="34"/>
  <c r="Y271" i="34"/>
  <c r="Y273" i="34"/>
  <c r="Y275" i="34"/>
  <c r="Y277" i="34"/>
  <c r="Y279" i="34"/>
  <c r="Y281" i="34"/>
  <c r="Y283" i="34"/>
  <c r="Y285" i="34"/>
  <c r="Y287" i="34"/>
  <c r="Y289" i="34"/>
  <c r="Y291" i="34"/>
  <c r="Y293" i="34"/>
  <c r="Y840" i="34"/>
  <c r="Y295" i="34"/>
  <c r="Y297" i="34"/>
  <c r="Y299" i="34"/>
  <c r="Y301" i="34"/>
  <c r="Y303" i="34"/>
  <c r="Y305" i="34"/>
  <c r="Y307" i="34"/>
  <c r="Y309" i="34"/>
  <c r="Y311" i="34"/>
  <c r="Y313" i="34"/>
  <c r="Y315" i="34"/>
  <c r="Y317" i="34"/>
  <c r="Y319" i="34"/>
  <c r="Y321" i="34"/>
  <c r="Y323" i="34"/>
  <c r="Y325" i="34"/>
  <c r="Y327" i="34"/>
  <c r="Y132" i="34"/>
  <c r="Y134" i="34"/>
  <c r="Y136" i="34"/>
  <c r="Y138" i="34"/>
  <c r="Y140" i="34"/>
  <c r="Y142" i="34"/>
  <c r="Y144" i="34"/>
  <c r="Y146" i="34"/>
  <c r="Y148" i="34"/>
  <c r="Y150" i="34"/>
  <c r="Y152" i="34"/>
  <c r="Y154" i="34"/>
  <c r="Y156" i="34"/>
  <c r="Y158" i="34"/>
  <c r="Y160" i="34"/>
  <c r="Y162" i="34"/>
  <c r="Y164" i="34"/>
  <c r="Y166" i="34"/>
  <c r="Y168" i="34"/>
  <c r="Y170" i="34"/>
  <c r="Y172" i="34"/>
  <c r="Y174" i="34"/>
  <c r="Y176" i="34"/>
  <c r="Y178" i="34"/>
  <c r="Y180" i="34"/>
  <c r="Y182" i="34"/>
  <c r="Y184" i="34"/>
  <c r="Y186" i="34"/>
  <c r="Y188" i="34"/>
  <c r="Y190" i="34"/>
  <c r="Y191" i="34"/>
  <c r="Y193" i="34"/>
  <c r="Y195" i="34"/>
  <c r="Y197" i="34"/>
  <c r="Y199" i="34"/>
  <c r="Y201" i="34"/>
  <c r="Y203" i="34"/>
  <c r="Y205" i="34"/>
  <c r="Y207" i="34"/>
  <c r="Y208" i="34"/>
  <c r="Y210" i="34"/>
  <c r="Y212" i="34"/>
  <c r="Y214" i="34"/>
  <c r="Y216" i="34"/>
  <c r="Y218" i="34"/>
  <c r="Y222" i="34"/>
  <c r="Y224" i="34"/>
  <c r="Y226" i="34"/>
  <c r="Y228" i="34"/>
  <c r="Y230" i="34"/>
  <c r="Y232" i="34"/>
  <c r="Y234" i="34"/>
  <c r="Y236" i="34"/>
  <c r="Y238" i="34"/>
  <c r="Y240" i="34"/>
  <c r="Y242" i="34"/>
  <c r="Y244" i="34"/>
  <c r="Y246" i="34"/>
  <c r="Y248" i="34"/>
  <c r="Y250" i="34"/>
  <c r="Y252" i="34"/>
  <c r="Y254" i="34"/>
  <c r="Y256" i="34"/>
  <c r="Y258" i="34"/>
  <c r="Y260" i="34"/>
  <c r="Y262" i="34"/>
  <c r="Y264" i="34"/>
  <c r="Y266" i="34"/>
  <c r="Y268" i="34"/>
  <c r="Y270" i="34"/>
  <c r="Y272" i="34"/>
  <c r="Y274" i="34"/>
  <c r="Y276" i="34"/>
  <c r="Y278" i="34"/>
  <c r="Y280" i="34"/>
  <c r="Y282" i="34"/>
  <c r="Y17" i="34"/>
  <c r="Y21" i="34"/>
  <c r="Y25" i="34"/>
  <c r="Y29" i="34"/>
  <c r="Y33" i="34"/>
  <c r="Y37" i="34"/>
  <c r="Y41" i="34"/>
  <c r="Y45" i="34"/>
  <c r="Y50" i="34"/>
  <c r="Y55" i="34"/>
  <c r="Y59" i="34"/>
  <c r="Y64" i="34"/>
  <c r="Y68" i="34"/>
  <c r="Y72" i="34"/>
  <c r="Y76" i="34"/>
  <c r="Y80" i="34"/>
  <c r="Y84" i="34"/>
  <c r="Y88" i="34"/>
  <c r="Y92" i="34"/>
  <c r="Y96" i="34"/>
  <c r="Y100" i="34"/>
  <c r="Y104" i="34"/>
  <c r="Y108" i="34"/>
  <c r="Y112" i="34"/>
  <c r="Y116" i="34"/>
  <c r="Y120" i="34"/>
  <c r="Y124" i="34"/>
  <c r="Y128" i="34"/>
  <c r="Y286" i="34"/>
  <c r="Y290" i="34"/>
  <c r="Y294" i="34"/>
  <c r="Y296" i="34"/>
  <c r="Y300" i="34"/>
  <c r="Y304" i="34"/>
  <c r="Y308" i="34"/>
  <c r="Y312" i="34"/>
  <c r="Y316" i="34"/>
  <c r="Y320" i="34"/>
  <c r="Y324" i="34"/>
  <c r="Y328" i="34"/>
  <c r="Y390" i="34"/>
  <c r="Y392" i="34"/>
  <c r="Y394" i="34"/>
  <c r="Y396" i="34"/>
  <c r="Y398" i="34"/>
  <c r="Y400" i="34"/>
  <c r="Y402" i="34"/>
  <c r="Y404" i="34"/>
  <c r="Y406" i="34"/>
  <c r="Y408" i="34"/>
  <c r="Y410" i="34"/>
  <c r="Y412" i="34"/>
  <c r="Y414" i="34"/>
  <c r="Y416" i="34"/>
  <c r="Y418" i="34"/>
  <c r="Y420" i="34"/>
  <c r="Y422" i="34"/>
  <c r="Y424" i="34"/>
  <c r="Y426" i="34"/>
  <c r="Y428" i="34"/>
  <c r="Y430" i="34"/>
  <c r="Y432" i="34"/>
  <c r="Y434" i="34"/>
  <c r="Y436" i="34"/>
  <c r="Y438" i="34"/>
  <c r="Y440" i="34"/>
  <c r="Y442" i="34"/>
  <c r="Y444" i="34"/>
  <c r="Y446" i="34"/>
  <c r="Y448" i="34"/>
  <c r="Y450" i="34"/>
  <c r="Y452" i="34"/>
  <c r="Y454" i="34"/>
  <c r="Y456" i="34"/>
  <c r="Y458" i="34"/>
  <c r="Y460" i="34"/>
  <c r="Y462" i="34"/>
  <c r="Y464" i="34"/>
  <c r="Y466" i="34"/>
  <c r="Y468" i="34"/>
  <c r="Y470" i="34"/>
  <c r="Y472" i="34"/>
  <c r="Y474" i="34"/>
  <c r="Y476" i="34"/>
  <c r="Y478" i="34"/>
  <c r="Y480" i="34"/>
  <c r="Y482" i="34"/>
  <c r="Y484" i="34"/>
  <c r="Y486" i="34"/>
  <c r="Y488" i="34"/>
  <c r="Y490" i="34"/>
  <c r="Y492" i="34"/>
  <c r="Y610" i="34"/>
  <c r="Y612" i="34"/>
  <c r="Y614" i="34"/>
  <c r="Y616" i="34"/>
  <c r="Y618" i="34"/>
  <c r="Y620" i="34"/>
  <c r="Y622" i="34"/>
  <c r="Y624" i="34"/>
  <c r="Y626" i="34"/>
  <c r="Y628" i="34"/>
  <c r="Y632" i="34"/>
  <c r="Y636" i="34"/>
  <c r="Y638" i="34"/>
  <c r="Y640" i="34"/>
  <c r="Y642" i="34"/>
  <c r="Y644" i="34"/>
  <c r="Y646" i="34"/>
  <c r="Y648" i="34"/>
  <c r="Y650" i="34"/>
  <c r="Y652" i="34"/>
  <c r="Y654" i="34"/>
  <c r="Y656" i="34"/>
  <c r="Y658" i="34"/>
  <c r="Y660" i="34"/>
  <c r="Y662" i="34"/>
  <c r="Y664" i="34"/>
  <c r="Y666" i="34"/>
  <c r="Y668" i="34"/>
  <c r="Y670" i="34"/>
  <c r="Y672" i="34"/>
  <c r="Y674" i="34"/>
  <c r="Y676" i="34"/>
  <c r="Y678" i="34"/>
  <c r="Y680" i="34"/>
  <c r="Y682" i="34"/>
  <c r="Y684" i="34"/>
  <c r="Y686" i="34"/>
  <c r="Y688" i="34"/>
  <c r="Y690" i="34"/>
  <c r="Y692" i="34"/>
  <c r="Y694" i="34"/>
  <c r="Y696" i="34"/>
  <c r="Y698" i="34"/>
  <c r="Y700" i="34"/>
  <c r="Y702" i="34"/>
  <c r="Y704" i="34"/>
  <c r="Y706" i="34"/>
  <c r="Y708" i="34"/>
  <c r="Y710" i="34"/>
  <c r="Y712" i="34"/>
  <c r="Y714" i="34"/>
  <c r="Y716" i="34"/>
  <c r="Y718" i="34"/>
  <c r="Y720" i="34"/>
  <c r="Y722" i="34"/>
  <c r="Y724" i="34"/>
  <c r="Y726" i="34"/>
  <c r="Y728" i="34"/>
  <c r="Y730" i="34"/>
  <c r="Y731" i="34"/>
  <c r="Y733" i="34"/>
  <c r="Y735" i="34"/>
  <c r="Y737" i="34"/>
  <c r="Y739" i="34"/>
  <c r="Y741" i="34"/>
  <c r="Y743" i="34"/>
  <c r="Y745" i="34"/>
  <c r="Y747" i="34"/>
  <c r="Y749" i="34"/>
  <c r="Y751" i="34"/>
  <c r="Y753" i="34"/>
  <c r="Y755" i="34"/>
  <c r="Y757" i="34"/>
  <c r="Y759" i="34"/>
  <c r="Y761" i="34"/>
  <c r="Y763" i="34"/>
  <c r="Y765" i="34"/>
  <c r="Y767" i="34"/>
  <c r="Y769" i="34"/>
  <c r="Y771" i="34"/>
  <c r="Y773" i="34"/>
  <c r="Y775" i="34"/>
  <c r="Y777" i="34"/>
  <c r="Y779" i="34"/>
  <c r="Y781" i="34"/>
  <c r="Y783" i="34"/>
  <c r="Y785" i="34"/>
  <c r="Y787" i="34"/>
  <c r="Y789" i="34"/>
  <c r="Y791" i="34"/>
  <c r="Y793" i="34"/>
  <c r="Y795" i="34"/>
  <c r="Y797" i="34"/>
  <c r="Y799" i="34"/>
  <c r="Y801" i="34"/>
  <c r="Y803" i="34"/>
  <c r="Y805" i="34"/>
  <c r="Y807" i="34"/>
  <c r="Y809" i="34"/>
  <c r="Y811" i="34"/>
  <c r="Y813" i="34"/>
  <c r="Y815" i="34"/>
  <c r="Y817" i="34"/>
  <c r="Y819" i="34"/>
  <c r="Y821" i="34"/>
  <c r="Y823" i="34"/>
  <c r="Y14" i="34"/>
  <c r="Y18" i="34"/>
  <c r="Y22" i="34"/>
  <c r="Y26" i="34"/>
  <c r="Y30" i="34"/>
  <c r="Y34" i="34"/>
  <c r="Y38" i="34"/>
  <c r="Y42" i="34"/>
  <c r="Y46" i="34"/>
  <c r="Y51" i="34"/>
  <c r="Y56" i="34"/>
  <c r="Y60" i="34"/>
  <c r="Y61" i="34"/>
  <c r="Y65" i="34"/>
  <c r="Y69" i="34"/>
  <c r="Y73" i="34"/>
  <c r="Y77" i="34"/>
  <c r="Y81" i="34"/>
  <c r="Y85" i="34"/>
  <c r="Y89" i="34"/>
  <c r="Y93" i="34"/>
  <c r="Y97" i="34"/>
  <c r="Y101" i="34"/>
  <c r="Y105" i="34"/>
  <c r="Y109" i="34"/>
  <c r="Y113" i="34"/>
  <c r="Y117" i="34"/>
  <c r="Y121" i="34"/>
  <c r="Y125" i="34"/>
  <c r="Y129" i="34"/>
  <c r="Y329" i="34"/>
  <c r="Y331" i="34"/>
  <c r="Y333" i="34"/>
  <c r="Y335" i="34"/>
  <c r="Y337" i="34"/>
  <c r="Y339" i="34"/>
  <c r="Y341" i="34"/>
  <c r="Y343" i="34"/>
  <c r="Y345" i="34"/>
  <c r="Y347" i="34"/>
  <c r="Y349" i="34"/>
  <c r="Y351" i="34"/>
  <c r="Y353" i="34"/>
  <c r="Y355" i="34"/>
  <c r="Y357" i="34"/>
  <c r="Y359" i="34"/>
  <c r="Y361" i="34"/>
  <c r="Y363" i="34"/>
  <c r="Y365" i="34"/>
  <c r="Y367" i="34"/>
  <c r="Y369" i="34"/>
  <c r="Y371" i="34"/>
  <c r="Y373" i="34"/>
  <c r="Y375" i="34"/>
  <c r="Y377" i="34"/>
  <c r="Y379" i="34"/>
  <c r="Y381" i="34"/>
  <c r="Y383" i="34"/>
  <c r="Y385" i="34"/>
  <c r="Y386" i="34"/>
  <c r="Y388" i="34"/>
  <c r="Y495" i="34"/>
  <c r="Y497" i="34"/>
  <c r="Y499" i="34"/>
  <c r="Y501" i="34"/>
  <c r="Y503" i="34"/>
  <c r="Y505" i="34"/>
  <c r="Y507" i="34"/>
  <c r="Y509" i="34"/>
  <c r="Y511" i="34"/>
  <c r="Y513" i="34"/>
  <c r="Y515" i="34"/>
  <c r="Y517" i="34"/>
  <c r="Y519" i="34"/>
  <c r="Y521" i="34"/>
  <c r="Y523" i="34"/>
  <c r="Y525" i="34"/>
  <c r="Y527" i="34"/>
  <c r="Y529" i="34"/>
  <c r="Y531" i="34"/>
  <c r="Y533" i="34"/>
  <c r="Y535" i="34"/>
  <c r="Y537" i="34"/>
  <c r="Y539" i="34"/>
  <c r="Y541" i="34"/>
  <c r="Y543" i="34"/>
  <c r="Y545" i="34"/>
  <c r="Y547" i="34"/>
  <c r="Y549" i="34"/>
  <c r="Y551" i="34"/>
  <c r="Y553" i="34"/>
  <c r="Y555" i="34"/>
  <c r="Y559" i="34"/>
  <c r="Y561" i="34"/>
  <c r="Y563" i="34"/>
  <c r="Y565" i="34"/>
  <c r="Y567" i="34"/>
  <c r="Y569" i="34"/>
  <c r="Y571" i="34"/>
  <c r="Y573" i="34"/>
  <c r="Y575" i="34"/>
  <c r="Y577" i="34"/>
  <c r="Y579" i="34"/>
  <c r="Y581" i="34"/>
  <c r="Y583" i="34"/>
  <c r="Y585" i="34"/>
  <c r="Y587" i="34"/>
  <c r="Y589" i="34"/>
  <c r="Y593" i="34"/>
  <c r="Y597" i="34"/>
  <c r="Y599" i="34"/>
  <c r="Y601" i="34"/>
  <c r="Y603" i="34"/>
  <c r="Y605" i="34"/>
  <c r="Y607" i="34"/>
  <c r="Y609" i="34"/>
  <c r="Y828" i="34"/>
  <c r="Y830" i="34"/>
  <c r="Y832" i="34"/>
  <c r="Y834" i="34"/>
  <c r="Y836" i="34"/>
  <c r="Y844" i="34"/>
  <c r="Y846" i="34"/>
  <c r="Y848" i="34"/>
  <c r="Y850" i="34"/>
  <c r="Y852" i="34"/>
  <c r="Y854" i="34"/>
  <c r="Y856" i="34"/>
  <c r="Y858" i="34"/>
  <c r="Y860" i="34"/>
  <c r="Y862" i="34"/>
  <c r="Y864" i="34"/>
  <c r="Y866" i="34"/>
  <c r="Y868" i="34"/>
  <c r="Y15" i="34"/>
  <c r="Y19" i="34"/>
  <c r="Y23" i="34"/>
  <c r="Y27" i="34"/>
  <c r="Y31" i="34"/>
  <c r="Y35" i="34"/>
  <c r="Y39" i="34"/>
  <c r="Y43" i="34"/>
  <c r="Y47" i="34"/>
  <c r="Y52" i="34"/>
  <c r="Y57" i="34"/>
  <c r="Y62" i="34"/>
  <c r="Y66" i="34"/>
  <c r="Y70" i="34"/>
  <c r="Y74" i="34"/>
  <c r="Y78" i="34"/>
  <c r="Y82" i="34"/>
  <c r="Y86" i="34"/>
  <c r="Y90" i="34"/>
  <c r="Y94" i="34"/>
  <c r="Y98" i="34"/>
  <c r="Y102" i="34"/>
  <c r="Y106" i="34"/>
  <c r="Y110" i="34"/>
  <c r="Y114" i="34"/>
  <c r="Y118" i="34"/>
  <c r="Y122" i="34"/>
  <c r="Y126" i="34"/>
  <c r="Y130" i="34"/>
  <c r="Y284" i="34"/>
  <c r="Y288" i="34"/>
  <c r="Y292" i="34"/>
  <c r="Y841" i="34"/>
  <c r="Y298" i="34"/>
  <c r="Y302" i="34"/>
  <c r="Y306" i="34"/>
  <c r="Y310" i="34"/>
  <c r="Y314" i="34"/>
  <c r="Y318" i="34"/>
  <c r="Y322" i="34"/>
  <c r="Y326" i="34"/>
  <c r="Y20" i="34"/>
  <c r="Y28" i="34"/>
  <c r="Y36" i="34"/>
  <c r="Y44" i="34"/>
  <c r="Y336" i="34"/>
  <c r="Y340" i="34"/>
  <c r="Y344" i="34"/>
  <c r="Y348" i="34"/>
  <c r="Y352" i="34"/>
  <c r="Y356" i="34"/>
  <c r="Y360" i="34"/>
  <c r="Y364" i="34"/>
  <c r="Y368" i="34"/>
  <c r="Y372" i="34"/>
  <c r="Y376" i="34"/>
  <c r="Y380" i="34"/>
  <c r="Y384" i="34"/>
  <c r="Y387" i="34"/>
  <c r="Y829" i="34"/>
  <c r="Y833" i="34"/>
  <c r="Y837" i="34"/>
  <c r="Y847" i="34"/>
  <c r="Y851" i="34"/>
  <c r="Y855" i="34"/>
  <c r="Y859" i="34"/>
  <c r="Y863" i="34"/>
  <c r="Y867" i="34"/>
  <c r="Y1199" i="34"/>
  <c r="Y1201" i="34"/>
  <c r="Y1203" i="34"/>
  <c r="Y1205" i="34"/>
  <c r="Y1207" i="34"/>
  <c r="Y1209" i="34"/>
  <c r="Y1220" i="34"/>
  <c r="Y1222" i="34"/>
  <c r="Y1242" i="34"/>
  <c r="Y1244" i="34"/>
  <c r="Y1246" i="34"/>
  <c r="Y1248" i="34"/>
  <c r="Y1250" i="34"/>
  <c r="Y1252" i="34"/>
  <c r="Y1254" i="34"/>
  <c r="Y1256" i="34"/>
  <c r="Y1258" i="34"/>
  <c r="Y1260" i="34"/>
  <c r="Y1262" i="34"/>
  <c r="Y1264" i="34"/>
  <c r="Y1266" i="34"/>
  <c r="Y1268" i="34"/>
  <c r="Y1270" i="34"/>
  <c r="Y1272" i="34"/>
  <c r="Y1274" i="34"/>
  <c r="Y1276" i="34"/>
  <c r="Y1278" i="34"/>
  <c r="Y1280" i="34"/>
  <c r="Y1282" i="34"/>
  <c r="Y1284" i="34"/>
  <c r="Y1286" i="34"/>
  <c r="Y1288" i="34"/>
  <c r="Y1290" i="34"/>
  <c r="Y1292" i="34"/>
  <c r="Y1294" i="34"/>
  <c r="Y1296" i="34"/>
  <c r="Y1298" i="34"/>
  <c r="Y1300" i="34"/>
  <c r="Y1302" i="34"/>
  <c r="Y1304" i="34"/>
  <c r="Y1308" i="34"/>
  <c r="Y1312" i="34"/>
  <c r="Y1316" i="34"/>
  <c r="Y1320" i="34"/>
  <c r="Y1324" i="34"/>
  <c r="Y1326" i="34"/>
  <c r="Y1328" i="34"/>
  <c r="Y1332" i="34"/>
  <c r="Y1336" i="34"/>
  <c r="Y1340" i="34"/>
  <c r="Y1344" i="34"/>
  <c r="Y1348" i="34"/>
  <c r="Y1352" i="34"/>
  <c r="Y1356" i="34"/>
  <c r="Y1358" i="34"/>
  <c r="Y1360" i="34"/>
  <c r="Y1362" i="34"/>
  <c r="Y1364" i="34"/>
  <c r="Y1366" i="34"/>
  <c r="Y1368" i="34"/>
  <c r="Y1370" i="34"/>
  <c r="Y1372" i="34"/>
  <c r="Y1376" i="34"/>
  <c r="Y1380" i="34"/>
  <c r="Y1384" i="34"/>
  <c r="Y1388" i="34"/>
  <c r="Y1392" i="34"/>
  <c r="Y1394" i="34"/>
  <c r="Y1396" i="34"/>
  <c r="Y49" i="34"/>
  <c r="Y54" i="34"/>
  <c r="Y67" i="34"/>
  <c r="Y75" i="34"/>
  <c r="Y83" i="34"/>
  <c r="Y91" i="34"/>
  <c r="Y99" i="34"/>
  <c r="Y107" i="34"/>
  <c r="Y115" i="34"/>
  <c r="Y123" i="34"/>
  <c r="Y131" i="34"/>
  <c r="Y330" i="34"/>
  <c r="Y393" i="34"/>
  <c r="Y397" i="34"/>
  <c r="Y401" i="34"/>
  <c r="Y405" i="34"/>
  <c r="Y409" i="34"/>
  <c r="Y413" i="34"/>
  <c r="Y417" i="34"/>
  <c r="Y421" i="34"/>
  <c r="Y425" i="34"/>
  <c r="Y429" i="34"/>
  <c r="Y433" i="34"/>
  <c r="Y437" i="34"/>
  <c r="Y441" i="34"/>
  <c r="Y445" i="34"/>
  <c r="Y449" i="34"/>
  <c r="Y453" i="34"/>
  <c r="Y457" i="34"/>
  <c r="Y461" i="34"/>
  <c r="Y465" i="34"/>
  <c r="Y469" i="34"/>
  <c r="Y473" i="34"/>
  <c r="Y477" i="34"/>
  <c r="Y481" i="34"/>
  <c r="Y485" i="34"/>
  <c r="Y489" i="34"/>
  <c r="Y493" i="34"/>
  <c r="Y494" i="34"/>
  <c r="Y498" i="34"/>
  <c r="Y502" i="34"/>
  <c r="Y506" i="34"/>
  <c r="Y510" i="34"/>
  <c r="Y514" i="34"/>
  <c r="Y518" i="34"/>
  <c r="Y522" i="34"/>
  <c r="Y526" i="34"/>
  <c r="Y530" i="34"/>
  <c r="Y534" i="34"/>
  <c r="Y540" i="34"/>
  <c r="Y548" i="34"/>
  <c r="Y552" i="34"/>
  <c r="Y560" i="34"/>
  <c r="Y564" i="34"/>
  <c r="Y568" i="34"/>
  <c r="Y572" i="34"/>
  <c r="Y576" i="34"/>
  <c r="Y580" i="34"/>
  <c r="Y584" i="34"/>
  <c r="Y590" i="34"/>
  <c r="Y592" i="34"/>
  <c r="Y598" i="34"/>
  <c r="Y602" i="34"/>
  <c r="Y606" i="34"/>
  <c r="Y613" i="34"/>
  <c r="Y617" i="34"/>
  <c r="Y621" i="34"/>
  <c r="Y625" i="34"/>
  <c r="Y629" i="34"/>
  <c r="Y631" i="34"/>
  <c r="Y637" i="34"/>
  <c r="Y641" i="34"/>
  <c r="Y645" i="34"/>
  <c r="Y649" i="34"/>
  <c r="Y653" i="34"/>
  <c r="Y657" i="34"/>
  <c r="Y661" i="34"/>
  <c r="Y665" i="34"/>
  <c r="Y669" i="34"/>
  <c r="Y673" i="34"/>
  <c r="Y677" i="34"/>
  <c r="Y681" i="34"/>
  <c r="Y685" i="34"/>
  <c r="Y689" i="34"/>
  <c r="Y693" i="34"/>
  <c r="Y697" i="34"/>
  <c r="Y701" i="34"/>
  <c r="Y705" i="34"/>
  <c r="Y709" i="34"/>
  <c r="Y713" i="34"/>
  <c r="Y717" i="34"/>
  <c r="Y721" i="34"/>
  <c r="Y725" i="34"/>
  <c r="Y729" i="34"/>
  <c r="Y732" i="34"/>
  <c r="Y736" i="34"/>
  <c r="Y740" i="34"/>
  <c r="Y744" i="34"/>
  <c r="Y748" i="34"/>
  <c r="Y752" i="34"/>
  <c r="Y756" i="34"/>
  <c r="Y760" i="34"/>
  <c r="Y764" i="34"/>
  <c r="Y768" i="34"/>
  <c r="Y772" i="34"/>
  <c r="Y776" i="34"/>
  <c r="Y780" i="34"/>
  <c r="Y784" i="34"/>
  <c r="Y788" i="34"/>
  <c r="Y792" i="34"/>
  <c r="Y796" i="34"/>
  <c r="Y800" i="34"/>
  <c r="Y804" i="34"/>
  <c r="Y808" i="34"/>
  <c r="Y812" i="34"/>
  <c r="Y816" i="34"/>
  <c r="Y820" i="34"/>
  <c r="Y824" i="34"/>
  <c r="Y825" i="34"/>
  <c r="Y871" i="34"/>
  <c r="Y873" i="34"/>
  <c r="Y875" i="34"/>
  <c r="Y877" i="34"/>
  <c r="Y879" i="34"/>
  <c r="Y881" i="34"/>
  <c r="Y883" i="34"/>
  <c r="Y885" i="34"/>
  <c r="Y887" i="34"/>
  <c r="Y889" i="34"/>
  <c r="Y891" i="34"/>
  <c r="Y893" i="34"/>
  <c r="Y895" i="34"/>
  <c r="Y897" i="34"/>
  <c r="Y899" i="34"/>
  <c r="Y901" i="34"/>
  <c r="Y903" i="34"/>
  <c r="Y905" i="34"/>
  <c r="Y907" i="34"/>
  <c r="Y909" i="34"/>
  <c r="Y911" i="34"/>
  <c r="Y913" i="34"/>
  <c r="Y915" i="34"/>
  <c r="Y917" i="34"/>
  <c r="Y919" i="34"/>
  <c r="Y921" i="34"/>
  <c r="Y923" i="34"/>
  <c r="Y925" i="34"/>
  <c r="Y927" i="34"/>
  <c r="Y929" i="34"/>
  <c r="Y931" i="34"/>
  <c r="Y933" i="34"/>
  <c r="Y935" i="34"/>
  <c r="Y937" i="34"/>
  <c r="Y939" i="34"/>
  <c r="Y941" i="34"/>
  <c r="Y943" i="34"/>
  <c r="Y945" i="34"/>
  <c r="Y947" i="34"/>
  <c r="Y949" i="34"/>
  <c r="Y951" i="34"/>
  <c r="Y953" i="34"/>
  <c r="Y955" i="34"/>
  <c r="Y957" i="34"/>
  <c r="Y959" i="34"/>
  <c r="Y961" i="34"/>
  <c r="Y963" i="34"/>
  <c r="Y965" i="34"/>
  <c r="Y967" i="34"/>
  <c r="Y969" i="34"/>
  <c r="Y971" i="34"/>
  <c r="Y973" i="34"/>
  <c r="Y975" i="34"/>
  <c r="Y977" i="34"/>
  <c r="Y979" i="34"/>
  <c r="Y981" i="34"/>
  <c r="Y983" i="34"/>
  <c r="Y985" i="34"/>
  <c r="Y987" i="34"/>
  <c r="Y989" i="34"/>
  <c r="Y991" i="34"/>
  <c r="Y993" i="34"/>
  <c r="Y995" i="34"/>
  <c r="Y997" i="34"/>
  <c r="Y999" i="34"/>
  <c r="Y1001" i="34"/>
  <c r="Y1003" i="34"/>
  <c r="Y1005" i="34"/>
  <c r="Y1007" i="34"/>
  <c r="Y1009" i="34"/>
  <c r="Y1011" i="34"/>
  <c r="Y1013" i="34"/>
  <c r="Y1015" i="34"/>
  <c r="Y1017" i="34"/>
  <c r="Y1019" i="34"/>
  <c r="Y1021" i="34"/>
  <c r="Y1023" i="34"/>
  <c r="Y1025" i="34"/>
  <c r="Y1027" i="34"/>
  <c r="Y1029" i="34"/>
  <c r="Y1031" i="34"/>
  <c r="Y1033" i="34"/>
  <c r="Y1035" i="34"/>
  <c r="Y1037" i="34"/>
  <c r="Y1039" i="34"/>
  <c r="Y1041" i="34"/>
  <c r="Y1043" i="34"/>
  <c r="Y1045" i="34"/>
  <c r="Y1047" i="34"/>
  <c r="Y1049" i="34"/>
  <c r="Y1051" i="34"/>
  <c r="Y1053" i="34"/>
  <c r="Y1055" i="34"/>
  <c r="Y1057" i="34"/>
  <c r="Y1059" i="34"/>
  <c r="Y1061" i="34"/>
  <c r="Y1063" i="34"/>
  <c r="Y1065" i="34"/>
  <c r="Y1067" i="34"/>
  <c r="Y1069" i="34"/>
  <c r="Y1071" i="34"/>
  <c r="Y1073" i="34"/>
  <c r="Y1075" i="34"/>
  <c r="Y1077" i="34"/>
  <c r="Y1079" i="34"/>
  <c r="Y1081" i="34"/>
  <c r="Y1083" i="34"/>
  <c r="Y1085" i="34"/>
  <c r="Y1087" i="34"/>
  <c r="Y1089" i="34"/>
  <c r="Y1091" i="34"/>
  <c r="Y1093" i="34"/>
  <c r="Y1095" i="34"/>
  <c r="Y1097" i="34"/>
  <c r="Y1099" i="34"/>
  <c r="Y1101" i="34"/>
  <c r="Y1103" i="34"/>
  <c r="Y1105" i="34"/>
  <c r="Y1107" i="34"/>
  <c r="Y1109" i="34"/>
  <c r="Y1111" i="34"/>
  <c r="Y1113" i="34"/>
  <c r="Y1115" i="34"/>
  <c r="Y1117" i="34"/>
  <c r="Y1119" i="34"/>
  <c r="Y1121" i="34"/>
  <c r="Y1123" i="34"/>
  <c r="Y1125" i="34"/>
  <c r="Y1127" i="34"/>
  <c r="Y1129" i="34"/>
  <c r="Y1131" i="34"/>
  <c r="Y1133" i="34"/>
  <c r="Y1135" i="34"/>
  <c r="Y1137" i="34"/>
  <c r="Y1139" i="34"/>
  <c r="Y1141" i="34"/>
  <c r="Y1143" i="34"/>
  <c r="Y1145" i="34"/>
  <c r="Y1147" i="34"/>
  <c r="Y1149" i="34"/>
  <c r="Y1151" i="34"/>
  <c r="Y1153" i="34"/>
  <c r="Y1155" i="34"/>
  <c r="Y1157" i="34"/>
  <c r="Y1159" i="34"/>
  <c r="Y1161" i="34"/>
  <c r="Y1163" i="34"/>
  <c r="Y1165" i="34"/>
  <c r="Y1167" i="34"/>
  <c r="Y1169" i="34"/>
  <c r="Y1171" i="34"/>
  <c r="Y1173" i="34"/>
  <c r="Y1175" i="34"/>
  <c r="Y1177" i="34"/>
  <c r="Y1179" i="34"/>
  <c r="Y1181" i="34"/>
  <c r="Y1185" i="34"/>
  <c r="Y1187" i="34"/>
  <c r="Y1189" i="34"/>
  <c r="Y1191" i="34"/>
  <c r="Y1193" i="34"/>
  <c r="Y1195" i="34"/>
  <c r="Y1197" i="34"/>
  <c r="Y1212" i="34"/>
  <c r="Y1214" i="34"/>
  <c r="Y1227" i="34"/>
  <c r="Y1229" i="34"/>
  <c r="Y1231" i="34"/>
  <c r="Y1233" i="34"/>
  <c r="Y1235" i="34"/>
  <c r="Y1237" i="34"/>
  <c r="Y1239" i="34"/>
  <c r="Y1241" i="34"/>
  <c r="Y16" i="34"/>
  <c r="Y24" i="34"/>
  <c r="Y32" i="34"/>
  <c r="Y40" i="34"/>
  <c r="Y48" i="34"/>
  <c r="Y334" i="34"/>
  <c r="Y338" i="34"/>
  <c r="Y342" i="34"/>
  <c r="Y346" i="34"/>
  <c r="Y350" i="34"/>
  <c r="Y354" i="34"/>
  <c r="Y358" i="34"/>
  <c r="Y362" i="34"/>
  <c r="Y366" i="34"/>
  <c r="Y370" i="34"/>
  <c r="Y374" i="34"/>
  <c r="Y378" i="34"/>
  <c r="Y382" i="34"/>
  <c r="Y842" i="34"/>
  <c r="Y389" i="34"/>
  <c r="Y827" i="34"/>
  <c r="Y831" i="34"/>
  <c r="Y835" i="34"/>
  <c r="Y845" i="34"/>
  <c r="Y849" i="34"/>
  <c r="Y853" i="34"/>
  <c r="Y857" i="34"/>
  <c r="Y861" i="34"/>
  <c r="Y865" i="34"/>
  <c r="Y869" i="34"/>
  <c r="Y1200" i="34"/>
  <c r="Y1202" i="34"/>
  <c r="Y1206" i="34"/>
  <c r="Y1219" i="34"/>
  <c r="Y1221" i="34"/>
  <c r="Y1223" i="34"/>
  <c r="Y1225" i="34"/>
  <c r="Y1243" i="34"/>
  <c r="Y1245" i="34"/>
  <c r="Y1247" i="34"/>
  <c r="Y1249" i="34"/>
  <c r="Y1251" i="34"/>
  <c r="Y1253" i="34"/>
  <c r="Y1255" i="34"/>
  <c r="Y1257" i="34"/>
  <c r="Y1259" i="34"/>
  <c r="Y1261" i="34"/>
  <c r="Y1263" i="34"/>
  <c r="Y1265" i="34"/>
  <c r="Y1267" i="34"/>
  <c r="Y1269" i="34"/>
  <c r="Y1271" i="34"/>
  <c r="Y1273" i="34"/>
  <c r="Y1275" i="34"/>
  <c r="Y1277" i="34"/>
  <c r="Y1279" i="34"/>
  <c r="Y1281" i="34"/>
  <c r="Y1283" i="34"/>
  <c r="Y1285" i="34"/>
  <c r="Y1287" i="34"/>
  <c r="Y1289" i="34"/>
  <c r="Y1291" i="34"/>
  <c r="Y1293" i="34"/>
  <c r="Y1295" i="34"/>
  <c r="Y1297" i="34"/>
  <c r="Y1299" i="34"/>
  <c r="Y1301" i="34"/>
  <c r="Y1303" i="34"/>
  <c r="Y1337" i="34"/>
  <c r="Y1341" i="34"/>
  <c r="Y1353" i="34"/>
  <c r="Y1361" i="34"/>
  <c r="Y1365" i="34"/>
  <c r="Y1369" i="34"/>
  <c r="Y1373" i="34"/>
  <c r="Y58" i="34"/>
  <c r="Y391" i="34"/>
  <c r="Y399" i="34"/>
  <c r="Y407" i="34"/>
  <c r="Y415" i="34"/>
  <c r="Y423" i="34"/>
  <c r="Y431" i="34"/>
  <c r="Y439" i="34"/>
  <c r="Y447" i="34"/>
  <c r="Y455" i="34"/>
  <c r="Y463" i="34"/>
  <c r="Y471" i="34"/>
  <c r="Y479" i="34"/>
  <c r="Y487" i="34"/>
  <c r="Y538" i="34"/>
  <c r="Y550" i="34"/>
  <c r="Y594" i="34"/>
  <c r="Y600" i="34"/>
  <c r="Y608" i="34"/>
  <c r="Y870" i="34"/>
  <c r="Y874" i="34"/>
  <c r="Y878" i="34"/>
  <c r="Y882" i="34"/>
  <c r="Y886" i="34"/>
  <c r="Y890" i="34"/>
  <c r="Y894" i="34"/>
  <c r="Y898" i="34"/>
  <c r="Y902" i="34"/>
  <c r="Y906" i="34"/>
  <c r="Y910" i="34"/>
  <c r="Y914" i="34"/>
  <c r="Y918" i="34"/>
  <c r="Y922" i="34"/>
  <c r="Y926" i="34"/>
  <c r="Y930" i="34"/>
  <c r="Y934" i="34"/>
  <c r="Y938" i="34"/>
  <c r="Y942" i="34"/>
  <c r="Y946" i="34"/>
  <c r="Y950" i="34"/>
  <c r="Y954" i="34"/>
  <c r="Y958" i="34"/>
  <c r="Y962" i="34"/>
  <c r="Y966" i="34"/>
  <c r="Y970" i="34"/>
  <c r="Y974" i="34"/>
  <c r="Y978" i="34"/>
  <c r="Y982" i="34"/>
  <c r="Y986" i="34"/>
  <c r="Y990" i="34"/>
  <c r="Y994" i="34"/>
  <c r="Y998" i="34"/>
  <c r="Y1002" i="34"/>
  <c r="Y1006" i="34"/>
  <c r="Y1010" i="34"/>
  <c r="Y1014" i="34"/>
  <c r="Y1018" i="34"/>
  <c r="Y1022" i="34"/>
  <c r="Y1026" i="34"/>
  <c r="Y1030" i="34"/>
  <c r="Y1034" i="34"/>
  <c r="Y1038" i="34"/>
  <c r="Y1042" i="34"/>
  <c r="Y1046" i="34"/>
  <c r="Y1050" i="34"/>
  <c r="Y1054" i="34"/>
  <c r="Y1058" i="34"/>
  <c r="Y1062" i="34"/>
  <c r="Y1066" i="34"/>
  <c r="Y1070" i="34"/>
  <c r="Y1074" i="34"/>
  <c r="Y1078" i="34"/>
  <c r="Y1082" i="34"/>
  <c r="Y1086" i="34"/>
  <c r="Y1090" i="34"/>
  <c r="Y1094" i="34"/>
  <c r="Y1098" i="34"/>
  <c r="Y1102" i="34"/>
  <c r="Y1106" i="34"/>
  <c r="Y1110" i="34"/>
  <c r="Y1114" i="34"/>
  <c r="Y1118" i="34"/>
  <c r="Y1126" i="34"/>
  <c r="Y1130" i="34"/>
  <c r="Y1134" i="34"/>
  <c r="Y1142" i="34"/>
  <c r="Y1146" i="34"/>
  <c r="Y1150" i="34"/>
  <c r="Y1170" i="34"/>
  <c r="Y1174" i="34"/>
  <c r="Y1178" i="34"/>
  <c r="Y1184" i="34"/>
  <c r="Y1188" i="34"/>
  <c r="Y1192" i="34"/>
  <c r="Y1196" i="34"/>
  <c r="Y1211" i="34"/>
  <c r="Y1215" i="34"/>
  <c r="Y1217" i="34"/>
  <c r="Y1230" i="34"/>
  <c r="Y1389" i="34"/>
  <c r="Y1395" i="34"/>
  <c r="Y71" i="34"/>
  <c r="Y87" i="34"/>
  <c r="Y103" i="34"/>
  <c r="Y119" i="34"/>
  <c r="Y500" i="34"/>
  <c r="Y508" i="34"/>
  <c r="Y516" i="34"/>
  <c r="Y524" i="34"/>
  <c r="Y532" i="34"/>
  <c r="Y558" i="34"/>
  <c r="Y566" i="34"/>
  <c r="Y574" i="34"/>
  <c r="Y582" i="34"/>
  <c r="Y615" i="34"/>
  <c r="Y623" i="34"/>
  <c r="Y639" i="34"/>
  <c r="Y647" i="34"/>
  <c r="Y655" i="34"/>
  <c r="Y663" i="34"/>
  <c r="Y671" i="34"/>
  <c r="Y679" i="34"/>
  <c r="Y687" i="34"/>
  <c r="Y695" i="34"/>
  <c r="Y703" i="34"/>
  <c r="Y711" i="34"/>
  <c r="Y719" i="34"/>
  <c r="Y727" i="34"/>
  <c r="Y734" i="34"/>
  <c r="Y742" i="34"/>
  <c r="Y750" i="34"/>
  <c r="Y758" i="34"/>
  <c r="Y766" i="34"/>
  <c r="Y774" i="34"/>
  <c r="Y782" i="34"/>
  <c r="Y790" i="34"/>
  <c r="Y798" i="34"/>
  <c r="Y806" i="34"/>
  <c r="Y814" i="34"/>
  <c r="Y822" i="34"/>
  <c r="Y395" i="34"/>
  <c r="Y403" i="34"/>
  <c r="Y411" i="34"/>
  <c r="Y419" i="34"/>
  <c r="Y427" i="34"/>
  <c r="Y435" i="34"/>
  <c r="Y443" i="34"/>
  <c r="Y451" i="34"/>
  <c r="Y459" i="34"/>
  <c r="Y467" i="34"/>
  <c r="Y475" i="34"/>
  <c r="Y483" i="34"/>
  <c r="Y491" i="34"/>
  <c r="Y542" i="34"/>
  <c r="Y596" i="34"/>
  <c r="Y604" i="34"/>
  <c r="Y872" i="34"/>
  <c r="Y876" i="34"/>
  <c r="Y880" i="34"/>
  <c r="Y884" i="34"/>
  <c r="Y888" i="34"/>
  <c r="Y892" i="34"/>
  <c r="Y896" i="34"/>
  <c r="Y900" i="34"/>
  <c r="Y904" i="34"/>
  <c r="Y908" i="34"/>
  <c r="Y912" i="34"/>
  <c r="Y916" i="34"/>
  <c r="Y920" i="34"/>
  <c r="Y924" i="34"/>
  <c r="Y928" i="34"/>
  <c r="Y932" i="34"/>
  <c r="Y936" i="34"/>
  <c r="Y940" i="34"/>
  <c r="Y944" i="34"/>
  <c r="Y948" i="34"/>
  <c r="Y952" i="34"/>
  <c r="Y956" i="34"/>
  <c r="Y960" i="34"/>
  <c r="Y964" i="34"/>
  <c r="Y968" i="34"/>
  <c r="Y972" i="34"/>
  <c r="Y976" i="34"/>
  <c r="Y980" i="34"/>
  <c r="Y984" i="34"/>
  <c r="Y988" i="34"/>
  <c r="Y992" i="34"/>
  <c r="Y996" i="34"/>
  <c r="Y1000" i="34"/>
  <c r="Y1004" i="34"/>
  <c r="Y1008" i="34"/>
  <c r="Y1012" i="34"/>
  <c r="Y1016" i="34"/>
  <c r="Y1020" i="34"/>
  <c r="Y1024" i="34"/>
  <c r="Y1028" i="34"/>
  <c r="Y1032" i="34"/>
  <c r="Y1036" i="34"/>
  <c r="Y1040" i="34"/>
  <c r="Y1044" i="34"/>
  <c r="Y1048" i="34"/>
  <c r="Y1052" i="34"/>
  <c r="Y1056" i="34"/>
  <c r="Y1060" i="34"/>
  <c r="Y1064" i="34"/>
  <c r="Y1068" i="34"/>
  <c r="Y1072" i="34"/>
  <c r="Y1076" i="34"/>
  <c r="Y1080" i="34"/>
  <c r="Y1084" i="34"/>
  <c r="Y1088" i="34"/>
  <c r="Y1092" i="34"/>
  <c r="Y1096" i="34"/>
  <c r="Y1100" i="34"/>
  <c r="Y1104" i="34"/>
  <c r="Y1108" i="34"/>
  <c r="Y1112" i="34"/>
  <c r="Y1116" i="34"/>
  <c r="Y1120" i="34"/>
  <c r="Y1124" i="34"/>
  <c r="Y1132" i="34"/>
  <c r="Y1136" i="34"/>
  <c r="Y1140" i="34"/>
  <c r="Y1144" i="34"/>
  <c r="Y1152" i="34"/>
  <c r="Y1156" i="34"/>
  <c r="Y1160" i="34"/>
  <c r="Y1164" i="34"/>
  <c r="Y1186" i="34"/>
  <c r="Y1194" i="34"/>
  <c r="Y1213" i="34"/>
  <c r="Y1228" i="34"/>
  <c r="Y1232" i="34"/>
  <c r="Y1236" i="34"/>
  <c r="Y1240" i="34"/>
  <c r="Y1385" i="34"/>
  <c r="Y1393" i="34"/>
  <c r="Y63" i="34"/>
  <c r="Y79" i="34"/>
  <c r="Y95" i="34"/>
  <c r="Y111" i="34"/>
  <c r="Y127" i="34"/>
  <c r="Y496" i="34"/>
  <c r="Y504" i="34"/>
  <c r="Y512" i="34"/>
  <c r="Y520" i="34"/>
  <c r="Y528" i="34"/>
  <c r="Y556" i="34"/>
  <c r="Y562" i="34"/>
  <c r="Y570" i="34"/>
  <c r="Y578" i="34"/>
  <c r="Y586" i="34"/>
  <c r="Y611" i="34"/>
  <c r="Y619" i="34"/>
  <c r="Y627" i="34"/>
  <c r="Y633" i="34"/>
  <c r="Y635" i="34"/>
  <c r="Y643" i="34"/>
  <c r="Y651" i="34"/>
  <c r="Y659" i="34"/>
  <c r="Y667" i="34"/>
  <c r="Y675" i="34"/>
  <c r="Y683" i="34"/>
  <c r="Y691" i="34"/>
  <c r="Y699" i="34"/>
  <c r="Y707" i="34"/>
  <c r="Y715" i="34"/>
  <c r="Y723" i="34"/>
  <c r="Y843" i="34"/>
  <c r="Y738" i="34"/>
  <c r="Y746" i="34"/>
  <c r="Y754" i="34"/>
  <c r="Y762" i="34"/>
  <c r="Y770" i="34"/>
  <c r="Y778" i="34"/>
  <c r="Y786" i="34"/>
  <c r="Y794" i="34"/>
  <c r="Y802" i="34"/>
  <c r="Y810" i="34"/>
  <c r="Y818" i="34"/>
  <c r="E47" i="71"/>
  <c r="K57" i="55"/>
  <c r="K157" i="55"/>
  <c r="K108" i="55"/>
  <c r="K123" i="55"/>
  <c r="I38" i="60"/>
  <c r="R595" i="34"/>
  <c r="O595" i="34"/>
  <c r="A595" i="34"/>
  <c r="T595" i="34"/>
  <c r="P595" i="34"/>
  <c r="U595" i="34"/>
  <c r="Y595" i="34"/>
  <c r="Q595" i="34"/>
  <c r="S595" i="34"/>
  <c r="R591" i="34"/>
  <c r="O591" i="34"/>
  <c r="A591" i="34"/>
  <c r="T591" i="34"/>
  <c r="P591" i="34"/>
  <c r="U591" i="34"/>
  <c r="Y591" i="34"/>
  <c r="S591" i="34"/>
  <c r="R588" i="34"/>
  <c r="O588" i="34"/>
  <c r="Q588" i="34"/>
  <c r="S588" i="34"/>
  <c r="A588" i="34"/>
  <c r="P588" i="34"/>
  <c r="T588" i="34"/>
  <c r="R557" i="34"/>
  <c r="O557" i="34"/>
  <c r="A557" i="34"/>
  <c r="T557" i="34"/>
  <c r="P557" i="34"/>
  <c r="U557" i="34"/>
  <c r="Y557" i="34"/>
  <c r="Q557" i="34"/>
  <c r="S557" i="34"/>
  <c r="R554" i="34"/>
  <c r="O554" i="34"/>
  <c r="A554" i="34"/>
  <c r="Q554" i="34"/>
  <c r="S554" i="34"/>
  <c r="T554" i="34"/>
  <c r="U554" i="34"/>
  <c r="Y554" i="34"/>
  <c r="R546" i="34"/>
  <c r="O546" i="34"/>
  <c r="A546" i="34"/>
  <c r="Q546" i="34"/>
  <c r="S546" i="34"/>
  <c r="P546" i="34"/>
  <c r="T546" i="34"/>
  <c r="R544" i="34"/>
  <c r="O544" i="34"/>
  <c r="A544" i="34"/>
  <c r="Q544" i="34"/>
  <c r="S544" i="34"/>
  <c r="H11" i="43" s="1"/>
  <c r="P544" i="34"/>
  <c r="T544" i="34"/>
  <c r="R536" i="34"/>
  <c r="O536" i="34"/>
  <c r="A536" i="34"/>
  <c r="Q536" i="34"/>
  <c r="S536" i="34"/>
  <c r="T536" i="34"/>
  <c r="U536" i="34"/>
  <c r="Y536" i="34"/>
  <c r="R332" i="34"/>
  <c r="O332" i="34"/>
  <c r="Q332" i="34"/>
  <c r="S332" i="34"/>
  <c r="A332" i="34"/>
  <c r="T332" i="34"/>
  <c r="U332" i="34"/>
  <c r="Y332" i="34"/>
  <c r="R220" i="34"/>
  <c r="O220" i="34"/>
  <c r="A220" i="34"/>
  <c r="S220" i="34"/>
  <c r="P220" i="34"/>
  <c r="U220" i="34"/>
  <c r="Y220" i="34"/>
  <c r="Q220" i="34"/>
  <c r="T220" i="34"/>
  <c r="F59" i="71"/>
  <c r="H126" i="60"/>
  <c r="I267" i="60"/>
  <c r="D23" i="68"/>
  <c r="E21" i="68"/>
  <c r="E29" i="68" s="1"/>
  <c r="G20" i="68" s="1"/>
  <c r="H20" i="68" s="1"/>
  <c r="F21" i="68" s="1"/>
  <c r="E22" i="68"/>
  <c r="E23" i="68"/>
  <c r="E24" i="68"/>
  <c r="B21" i="68"/>
  <c r="A21" i="68" s="1"/>
  <c r="B22" i="68"/>
  <c r="A22" i="68" s="1"/>
  <c r="B23" i="68"/>
  <c r="A23" i="68" s="1"/>
  <c r="B24" i="68"/>
  <c r="A24" i="68" s="1"/>
  <c r="P554" i="34"/>
  <c r="Y546" i="34"/>
  <c r="U546" i="34"/>
  <c r="Y588" i="34"/>
  <c r="U588" i="34"/>
  <c r="R159" i="60"/>
  <c r="R161" i="60" s="1"/>
  <c r="R167" i="60" s="1"/>
  <c r="R170" i="60" s="1"/>
  <c r="D24" i="68"/>
  <c r="D22" i="68"/>
  <c r="Y544" i="34"/>
  <c r="U544" i="34"/>
  <c r="P332" i="34"/>
  <c r="W250" i="34"/>
  <c r="V250" i="34"/>
  <c r="O1023" i="34"/>
  <c r="A1023" i="34"/>
  <c r="O1020" i="34"/>
  <c r="A1020" i="34"/>
  <c r="O872" i="34"/>
  <c r="A872" i="34"/>
  <c r="O826" i="34"/>
  <c r="A826" i="34"/>
  <c r="P826" i="34"/>
  <c r="U826" i="34"/>
  <c r="Y826" i="34"/>
  <c r="U61" i="34"/>
  <c r="Y53" i="34"/>
  <c r="O639" i="34"/>
  <c r="A639" i="34"/>
  <c r="O634" i="34"/>
  <c r="P634" i="34"/>
  <c r="U634" i="34"/>
  <c r="Y634" i="34"/>
  <c r="A634" i="34"/>
  <c r="Q634" i="34"/>
  <c r="O630" i="34"/>
  <c r="P630" i="34"/>
  <c r="U630" i="34"/>
  <c r="Y630" i="34"/>
  <c r="A630" i="34"/>
  <c r="Q630" i="34"/>
  <c r="O627" i="34"/>
  <c r="A627" i="34"/>
  <c r="O623" i="34"/>
  <c r="A623" i="34"/>
  <c r="O619" i="34"/>
  <c r="A619" i="34"/>
  <c r="O615" i="34"/>
  <c r="A615" i="34"/>
  <c r="O1282" i="34"/>
  <c r="O1278" i="34"/>
  <c r="O1264" i="34"/>
  <c r="O1261" i="34"/>
  <c r="O1214" i="34"/>
  <c r="O1203" i="34"/>
  <c r="O1200" i="34"/>
  <c r="O1197" i="34"/>
  <c r="O1193" i="34"/>
  <c r="O1189" i="34"/>
  <c r="O1177" i="34"/>
  <c r="O1173" i="34"/>
  <c r="O1151" i="34"/>
  <c r="O926" i="34"/>
  <c r="O700" i="34"/>
  <c r="A700" i="34"/>
  <c r="O516" i="34"/>
  <c r="A516" i="34"/>
  <c r="O513" i="34"/>
  <c r="A513" i="34"/>
  <c r="O509" i="34"/>
  <c r="O507" i="34"/>
  <c r="O1388" i="34"/>
  <c r="O1384" i="34"/>
  <c r="O1380" i="34"/>
  <c r="O1373" i="34"/>
  <c r="O1368" i="34"/>
  <c r="O1365" i="34"/>
  <c r="O1360" i="34"/>
  <c r="O1353" i="34"/>
  <c r="O1336" i="34"/>
  <c r="O1304" i="34"/>
  <c r="O1300" i="34"/>
  <c r="O1297" i="34"/>
  <c r="O1293" i="34"/>
  <c r="O1289" i="34"/>
  <c r="O1285" i="34"/>
  <c r="O1267" i="34"/>
  <c r="O1260" i="34"/>
  <c r="O1246" i="34"/>
  <c r="O1230" i="34"/>
  <c r="O1223" i="34"/>
  <c r="O1220" i="34"/>
  <c r="O1217" i="34"/>
  <c r="O1164" i="34"/>
  <c r="O1160" i="34"/>
  <c r="O1157" i="34"/>
  <c r="O1142" i="34"/>
  <c r="O1123" i="34"/>
  <c r="O1119" i="34"/>
  <c r="O1086" i="34"/>
  <c r="O1082" i="34"/>
  <c r="O1079" i="34"/>
  <c r="O1076" i="34"/>
  <c r="O1072" i="34"/>
  <c r="O1068" i="34"/>
  <c r="O1065" i="34"/>
  <c r="O1042" i="34"/>
  <c r="O1038" i="34"/>
  <c r="O1035" i="34"/>
  <c r="A1035" i="34"/>
  <c r="O1031" i="34"/>
  <c r="A1031" i="34"/>
  <c r="O1029" i="34"/>
  <c r="A1029" i="34"/>
  <c r="O894" i="34"/>
  <c r="O883" i="34"/>
  <c r="A883" i="34"/>
  <c r="O880" i="34"/>
  <c r="O876" i="34"/>
  <c r="O824" i="34"/>
  <c r="A824" i="34"/>
  <c r="O811" i="34"/>
  <c r="O807" i="34"/>
  <c r="O605" i="34"/>
  <c r="A605" i="34"/>
  <c r="O594" i="34"/>
  <c r="O346" i="34"/>
  <c r="O342" i="34"/>
  <c r="O61" i="34"/>
  <c r="A61" i="34"/>
  <c r="Q61" i="34"/>
  <c r="O53" i="34"/>
  <c r="A53" i="34"/>
  <c r="Q53" i="34"/>
  <c r="O49" i="34"/>
  <c r="A49" i="34"/>
  <c r="Q49" i="34"/>
  <c r="P53" i="34"/>
  <c r="U49" i="34"/>
  <c r="X15" i="34"/>
  <c r="X17" i="34"/>
  <c r="X19" i="34"/>
  <c r="X21" i="34"/>
  <c r="X23" i="34"/>
  <c r="X25" i="34"/>
  <c r="X27" i="34"/>
  <c r="X29" i="34"/>
  <c r="X31" i="34"/>
  <c r="X33" i="34"/>
  <c r="X35" i="34"/>
  <c r="X37" i="34"/>
  <c r="X39" i="34"/>
  <c r="X41" i="34"/>
  <c r="X43" i="34"/>
  <c r="X45" i="34"/>
  <c r="X47" i="34"/>
  <c r="X49" i="34"/>
  <c r="X51" i="34"/>
  <c r="X53" i="34"/>
  <c r="X55" i="34"/>
  <c r="X57" i="34"/>
  <c r="X59" i="34"/>
  <c r="X61" i="34"/>
  <c r="X63" i="34"/>
  <c r="X65" i="34"/>
  <c r="X67" i="34"/>
  <c r="X69" i="34"/>
  <c r="X71" i="34"/>
  <c r="X73" i="34"/>
  <c r="X75" i="34"/>
  <c r="X77" i="34"/>
  <c r="X79" i="34"/>
  <c r="X81" i="34"/>
  <c r="X83" i="34"/>
  <c r="X85" i="34"/>
  <c r="X87" i="34"/>
  <c r="X89" i="34"/>
  <c r="X91" i="34"/>
  <c r="X93" i="34"/>
  <c r="X95" i="34"/>
  <c r="X97" i="34"/>
  <c r="X99" i="34"/>
  <c r="X101" i="34"/>
  <c r="X103" i="34"/>
  <c r="X105" i="34"/>
  <c r="X107" i="34"/>
  <c r="X109" i="34"/>
  <c r="X111" i="34"/>
  <c r="X113" i="34"/>
  <c r="X115" i="34"/>
  <c r="X117" i="34"/>
  <c r="X119" i="34"/>
  <c r="X121" i="34"/>
  <c r="X123" i="34"/>
  <c r="X125" i="34"/>
  <c r="X127" i="34"/>
  <c r="X129" i="34"/>
  <c r="X131" i="34"/>
  <c r="X14" i="34"/>
  <c r="X16" i="34"/>
  <c r="X18" i="34"/>
  <c r="X20" i="34"/>
  <c r="X22" i="34"/>
  <c r="X24" i="34"/>
  <c r="X26" i="34"/>
  <c r="X28" i="34"/>
  <c r="X30" i="34"/>
  <c r="X32" i="34"/>
  <c r="X34" i="34"/>
  <c r="X36" i="34"/>
  <c r="X38" i="34"/>
  <c r="X40" i="34"/>
  <c r="X42" i="34"/>
  <c r="X44" i="34"/>
  <c r="X46" i="34"/>
  <c r="X48" i="34"/>
  <c r="X50" i="34"/>
  <c r="X52" i="34"/>
  <c r="X54" i="34"/>
  <c r="X56" i="34"/>
  <c r="X58" i="34"/>
  <c r="X60" i="34"/>
  <c r="X62" i="34"/>
  <c r="X64" i="34"/>
  <c r="X66" i="34"/>
  <c r="X68" i="34"/>
  <c r="X70" i="34"/>
  <c r="X72" i="34"/>
  <c r="X74" i="34"/>
  <c r="X76" i="34"/>
  <c r="X78" i="34"/>
  <c r="X80" i="34"/>
  <c r="X82" i="34"/>
  <c r="X84" i="34"/>
  <c r="X86" i="34"/>
  <c r="X88" i="34"/>
  <c r="X90" i="34"/>
  <c r="X92" i="34"/>
  <c r="X94" i="34"/>
  <c r="X96" i="34"/>
  <c r="X98" i="34"/>
  <c r="X100" i="34"/>
  <c r="X102" i="34"/>
  <c r="X104" i="34"/>
  <c r="X106" i="34"/>
  <c r="X108" i="34"/>
  <c r="X110" i="34"/>
  <c r="X112" i="34"/>
  <c r="X114" i="34"/>
  <c r="X116" i="34"/>
  <c r="X118" i="34"/>
  <c r="X120" i="34"/>
  <c r="X122" i="34"/>
  <c r="X124" i="34"/>
  <c r="X126" i="34"/>
  <c r="X128" i="34"/>
  <c r="X130" i="34"/>
  <c r="O535" i="34"/>
  <c r="A346" i="34"/>
  <c r="A342" i="34"/>
  <c r="O1266" i="34"/>
  <c r="O1263" i="34"/>
  <c r="O1256" i="34"/>
  <c r="O1252" i="34"/>
  <c r="O1249" i="34"/>
  <c r="O1212" i="34"/>
  <c r="O1205" i="34"/>
  <c r="O1179" i="34"/>
  <c r="O1149" i="34"/>
  <c r="O1145" i="34"/>
  <c r="O1017" i="34"/>
  <c r="A1017" i="34"/>
  <c r="O1013" i="34"/>
  <c r="A1013" i="34"/>
  <c r="O1009" i="34"/>
  <c r="A1009" i="34"/>
  <c r="O990" i="34"/>
  <c r="O713" i="34"/>
  <c r="O1396" i="34"/>
  <c r="O1392" i="34"/>
  <c r="O1358" i="34"/>
  <c r="O1340" i="34"/>
  <c r="O1326" i="34"/>
  <c r="O1316" i="34"/>
  <c r="O1312" i="34"/>
  <c r="O1290" i="34"/>
  <c r="O1286" i="34"/>
  <c r="O1279" i="34"/>
  <c r="O1273" i="34"/>
  <c r="O1270" i="34"/>
  <c r="O1255" i="34"/>
  <c r="O1251" i="34"/>
  <c r="O1229" i="34"/>
  <c r="O1222" i="34"/>
  <c r="O1206" i="34"/>
  <c r="O1202" i="34"/>
  <c r="O1196" i="34"/>
  <c r="O1178" i="34"/>
  <c r="O1174" i="34"/>
  <c r="O1167" i="34"/>
  <c r="O1163" i="34"/>
  <c r="O1156" i="34"/>
  <c r="O1153" i="34"/>
  <c r="O1150" i="34"/>
  <c r="O1146" i="34"/>
  <c r="O1139" i="34"/>
  <c r="O1135" i="34"/>
  <c r="O1124" i="34"/>
  <c r="O1120" i="34"/>
  <c r="O1117" i="34"/>
  <c r="O1110" i="34"/>
  <c r="O1107" i="34"/>
  <c r="O1104" i="34"/>
  <c r="O1100" i="34"/>
  <c r="O1097" i="34"/>
  <c r="O1094" i="34"/>
  <c r="O1090" i="34"/>
  <c r="O1026" i="34"/>
  <c r="O1022" i="34"/>
  <c r="O1019" i="34"/>
  <c r="O1016" i="34"/>
  <c r="O1012" i="34"/>
  <c r="O997" i="34"/>
  <c r="O989" i="34"/>
  <c r="O985" i="34"/>
  <c r="O981" i="34"/>
  <c r="O978" i="34"/>
  <c r="O974" i="34"/>
  <c r="O971" i="34"/>
  <c r="O967" i="34"/>
  <c r="O933" i="34"/>
  <c r="O925" i="34"/>
  <c r="O921" i="34"/>
  <c r="O917" i="34"/>
  <c r="O914" i="34"/>
  <c r="O910" i="34"/>
  <c r="O907" i="34"/>
  <c r="O903" i="34"/>
  <c r="O874" i="34"/>
  <c r="O863" i="34"/>
  <c r="O855" i="34"/>
  <c r="O851" i="34"/>
  <c r="O847" i="34"/>
  <c r="O844" i="34"/>
  <c r="O13" i="34"/>
  <c r="O10" i="34"/>
  <c r="O840" i="34"/>
  <c r="O836" i="34"/>
  <c r="O832" i="34"/>
  <c r="O817" i="34"/>
  <c r="A817" i="34"/>
  <c r="O802" i="34"/>
  <c r="O798" i="34"/>
  <c r="O795" i="34"/>
  <c r="O791" i="34"/>
  <c r="O786" i="34"/>
  <c r="O782" i="34"/>
  <c r="O697" i="34"/>
  <c r="A697" i="34"/>
  <c r="O693" i="34"/>
  <c r="A693" i="34"/>
  <c r="O689" i="34"/>
  <c r="A689" i="34"/>
  <c r="O686" i="34"/>
  <c r="O683" i="34"/>
  <c r="O679" i="34"/>
  <c r="O675" i="34"/>
  <c r="O532" i="34"/>
  <c r="O523" i="34"/>
  <c r="O519" i="34"/>
  <c r="O408" i="34"/>
  <c r="O398" i="34"/>
  <c r="O394" i="34"/>
  <c r="O377" i="34"/>
  <c r="A377" i="34"/>
  <c r="O373" i="34"/>
  <c r="A373" i="34"/>
  <c r="O219" i="34"/>
  <c r="O26" i="34"/>
  <c r="O48" i="34"/>
  <c r="O54" i="34"/>
  <c r="O133" i="34"/>
  <c r="O184" i="34"/>
  <c r="O35" i="34"/>
  <c r="O50" i="34"/>
  <c r="O111" i="34"/>
  <c r="O182" i="34"/>
  <c r="O194" i="34"/>
  <c r="O200" i="34"/>
  <c r="O313" i="34"/>
  <c r="O350" i="34"/>
  <c r="O359" i="34"/>
  <c r="O363" i="34"/>
  <c r="O33" i="34"/>
  <c r="O105" i="34"/>
  <c r="O199" i="34"/>
  <c r="O222" i="34"/>
  <c r="O269" i="34"/>
  <c r="O315" i="34"/>
  <c r="O327" i="34"/>
  <c r="O351" i="34"/>
  <c r="O361" i="34"/>
  <c r="O370" i="34"/>
  <c r="O439" i="34"/>
  <c r="O468" i="34"/>
  <c r="O506" i="34"/>
  <c r="O548" i="34"/>
  <c r="O552" i="34"/>
  <c r="O556" i="34"/>
  <c r="O577" i="34"/>
  <c r="O592" i="34"/>
  <c r="O596" i="34"/>
  <c r="O654" i="34"/>
  <c r="O665" i="34"/>
  <c r="O672" i="34"/>
  <c r="O718" i="34"/>
  <c r="O735" i="34"/>
  <c r="O789" i="34"/>
  <c r="O812" i="34"/>
  <c r="O22" i="34"/>
  <c r="O32" i="34"/>
  <c r="O203" i="34"/>
  <c r="O218" i="34"/>
  <c r="O312" i="34"/>
  <c r="O326" i="34"/>
  <c r="O407" i="34"/>
  <c r="O413" i="34"/>
  <c r="O466" i="34"/>
  <c r="O495" i="34"/>
  <c r="O499" i="34"/>
  <c r="O531" i="34"/>
  <c r="O549" i="34"/>
  <c r="O58" i="34"/>
  <c r="O201" i="34"/>
  <c r="O316" i="34"/>
  <c r="O322" i="34"/>
  <c r="O338" i="34"/>
  <c r="O349" i="34"/>
  <c r="O358" i="34"/>
  <c r="O369" i="34"/>
  <c r="O400" i="34"/>
  <c r="O459" i="34"/>
  <c r="O469" i="34"/>
  <c r="O537" i="34"/>
  <c r="O553" i="34"/>
  <c r="O590" i="34"/>
  <c r="O674" i="34"/>
  <c r="O195" i="34"/>
  <c r="O217" i="34"/>
  <c r="O401" i="34"/>
  <c r="O412" i="34"/>
  <c r="O467" i="34"/>
  <c r="O505" i="34"/>
  <c r="O545" i="34"/>
  <c r="O555" i="34"/>
  <c r="O586" i="34"/>
  <c r="O593" i="34"/>
  <c r="O657" i="34"/>
  <c r="O664" i="34"/>
  <c r="O673" i="34"/>
  <c r="O715" i="34"/>
  <c r="O830" i="34"/>
  <c r="O42" i="34"/>
  <c r="O223" i="34"/>
  <c r="O347" i="34"/>
  <c r="O360" i="34"/>
  <c r="O538" i="34"/>
  <c r="O587" i="34"/>
  <c r="O597" i="34"/>
  <c r="O656" i="34"/>
  <c r="O716" i="34"/>
  <c r="O730" i="34"/>
  <c r="O1027" i="34"/>
  <c r="O1043" i="34"/>
  <c r="O196" i="34"/>
  <c r="O224" i="34"/>
  <c r="O268" i="34"/>
  <c r="O362" i="34"/>
  <c r="O437" i="34"/>
  <c r="O517" i="34"/>
  <c r="O589" i="34"/>
  <c r="O670" i="34"/>
  <c r="O706" i="34"/>
  <c r="O717" i="34"/>
  <c r="O734" i="34"/>
  <c r="O805" i="34"/>
  <c r="O828" i="34"/>
  <c r="O24" i="34"/>
  <c r="O117" i="34"/>
  <c r="O204" i="34"/>
  <c r="O314" i="34"/>
  <c r="O324" i="34"/>
  <c r="O430" i="34"/>
  <c r="O504" i="34"/>
  <c r="O547" i="34"/>
  <c r="O558" i="34"/>
  <c r="O671" i="34"/>
  <c r="O708" i="34"/>
  <c r="O722" i="34"/>
  <c r="O1394" i="34"/>
  <c r="O1376" i="34"/>
  <c r="O1370" i="34"/>
  <c r="O1362" i="34"/>
  <c r="O1356" i="34"/>
  <c r="O1328" i="34"/>
  <c r="O1303" i="34"/>
  <c r="O1296" i="34"/>
  <c r="O1292" i="34"/>
  <c r="O1288" i="34"/>
  <c r="O1284" i="34"/>
  <c r="O1281" i="34"/>
  <c r="O1277" i="34"/>
  <c r="O1274" i="34"/>
  <c r="O1268" i="34"/>
  <c r="O1259" i="34"/>
  <c r="O1253" i="34"/>
  <c r="O1250" i="34"/>
  <c r="O1243" i="34"/>
  <c r="O1239" i="34"/>
  <c r="O1235" i="34"/>
  <c r="O1231" i="34"/>
  <c r="O1207" i="34"/>
  <c r="O1194" i="34"/>
  <c r="O1130" i="34"/>
  <c r="O1126" i="34"/>
  <c r="O1088" i="34"/>
  <c r="O1085" i="34"/>
  <c r="O1078" i="34"/>
  <c r="O1075" i="34"/>
  <c r="O1064" i="34"/>
  <c r="O1060" i="34"/>
  <c r="O1057" i="34"/>
  <c r="O1054" i="34"/>
  <c r="O1051" i="34"/>
  <c r="O1047" i="34"/>
  <c r="O1045" i="34"/>
  <c r="O1006" i="34"/>
  <c r="O1003" i="34"/>
  <c r="O999" i="34"/>
  <c r="O965" i="34"/>
  <c r="O957" i="34"/>
  <c r="O953" i="34"/>
  <c r="O949" i="34"/>
  <c r="O946" i="34"/>
  <c r="O942" i="34"/>
  <c r="O939" i="34"/>
  <c r="O935" i="34"/>
  <c r="O901" i="34"/>
  <c r="O893" i="34"/>
  <c r="O889" i="34"/>
  <c r="O885" i="34"/>
  <c r="O869" i="34"/>
  <c r="O865" i="34"/>
  <c r="O663" i="34"/>
  <c r="O659" i="34"/>
  <c r="O550" i="34"/>
  <c r="O464" i="34"/>
  <c r="O461" i="34"/>
  <c r="A461" i="34"/>
  <c r="O456" i="34"/>
  <c r="O452" i="34"/>
  <c r="O1008" i="34"/>
  <c r="O1005" i="34"/>
  <c r="O1002" i="34"/>
  <c r="O998" i="34"/>
  <c r="O995" i="34"/>
  <c r="O991" i="34"/>
  <c r="O988" i="34"/>
  <c r="O984" i="34"/>
  <c r="O977" i="34"/>
  <c r="O966" i="34"/>
  <c r="O963" i="34"/>
  <c r="O959" i="34"/>
  <c r="O956" i="34"/>
  <c r="O952" i="34"/>
  <c r="O945" i="34"/>
  <c r="O934" i="34"/>
  <c r="O931" i="34"/>
  <c r="O927" i="34"/>
  <c r="O924" i="34"/>
  <c r="O920" i="34"/>
  <c r="O913" i="34"/>
  <c r="O902" i="34"/>
  <c r="O899" i="34"/>
  <c r="O895" i="34"/>
  <c r="O892" i="34"/>
  <c r="O888" i="34"/>
  <c r="O882" i="34"/>
  <c r="O879" i="34"/>
  <c r="O875" i="34"/>
  <c r="O873" i="34"/>
  <c r="O871" i="34"/>
  <c r="O868" i="34"/>
  <c r="O864" i="34"/>
  <c r="O861" i="34"/>
  <c r="O857" i="34"/>
  <c r="O854" i="34"/>
  <c r="O850" i="34"/>
  <c r="O16" i="34"/>
  <c r="O12" i="34"/>
  <c r="O843" i="34"/>
  <c r="O839" i="34"/>
  <c r="O835" i="34"/>
  <c r="O831" i="34"/>
  <c r="O773" i="34"/>
  <c r="O769" i="34"/>
  <c r="O765" i="34"/>
  <c r="O762" i="34"/>
  <c r="O758" i="34"/>
  <c r="O755" i="34"/>
  <c r="O751" i="34"/>
  <c r="O747" i="34"/>
  <c r="O743" i="34"/>
  <c r="O740" i="34"/>
  <c r="O736" i="34"/>
  <c r="O729" i="34"/>
  <c r="O725" i="34"/>
  <c r="O719" i="34"/>
  <c r="O712" i="34"/>
  <c r="O703" i="34"/>
  <c r="O667" i="34"/>
  <c r="O662" i="34"/>
  <c r="O576" i="34"/>
  <c r="O573" i="34"/>
  <c r="O569" i="34"/>
  <c r="O566" i="34"/>
  <c r="O562" i="34"/>
  <c r="O500" i="34"/>
  <c r="O484" i="34"/>
  <c r="O481" i="34"/>
  <c r="O478" i="34"/>
  <c r="O475" i="34"/>
  <c r="O435" i="34"/>
  <c r="O427" i="34"/>
  <c r="O423" i="34"/>
  <c r="O419" i="34"/>
  <c r="O415" i="34"/>
  <c r="O402" i="34"/>
  <c r="O331" i="34"/>
  <c r="O308" i="34"/>
  <c r="O305" i="34"/>
  <c r="O301" i="34"/>
  <c r="O286" i="34"/>
  <c r="O282" i="34"/>
  <c r="O212" i="34"/>
  <c r="O208" i="34"/>
  <c r="O191" i="34"/>
  <c r="O187" i="34"/>
  <c r="O181" i="34"/>
  <c r="O139" i="34"/>
  <c r="O131" i="34"/>
  <c r="O127" i="34"/>
  <c r="O124" i="34"/>
  <c r="O121" i="34"/>
  <c r="O112" i="34"/>
  <c r="O80" i="34"/>
  <c r="O77" i="34"/>
  <c r="O73" i="34"/>
  <c r="O70" i="34"/>
  <c r="O66" i="34"/>
  <c r="O63" i="34"/>
  <c r="O28" i="34"/>
  <c r="A773" i="34"/>
  <c r="A769" i="34"/>
  <c r="A765" i="34"/>
  <c r="A729" i="34"/>
  <c r="A725" i="34"/>
  <c r="A573" i="34"/>
  <c r="A569" i="34"/>
  <c r="A481" i="34"/>
  <c r="A305" i="34"/>
  <c r="A301" i="34"/>
  <c r="A181" i="34"/>
  <c r="A121" i="34"/>
  <c r="A77" i="34"/>
  <c r="A73" i="34"/>
  <c r="O1395" i="34"/>
  <c r="O1385" i="34"/>
  <c r="O1366" i="34"/>
  <c r="O1332" i="34"/>
  <c r="O1308" i="34"/>
  <c r="O1301" i="34"/>
  <c r="O1298" i="34"/>
  <c r="O1294" i="34"/>
  <c r="O1287" i="34"/>
  <c r="O1283" i="34"/>
  <c r="O1280" i="34"/>
  <c r="O1276" i="34"/>
  <c r="O1271" i="34"/>
  <c r="O1265" i="34"/>
  <c r="O1262" i="34"/>
  <c r="O1257" i="34"/>
  <c r="O1254" i="34"/>
  <c r="O1248" i="34"/>
  <c r="O1245" i="34"/>
  <c r="O1241" i="34"/>
  <c r="O1213" i="34"/>
  <c r="O1195" i="34"/>
  <c r="O1192" i="34"/>
  <c r="O1188" i="34"/>
  <c r="O1185" i="34"/>
  <c r="O1181" i="34"/>
  <c r="O1175" i="34"/>
  <c r="O1169" i="34"/>
  <c r="O1165" i="34"/>
  <c r="O1159" i="34"/>
  <c r="O1147" i="34"/>
  <c r="O1144" i="34"/>
  <c r="O1141" i="34"/>
  <c r="O1134" i="34"/>
  <c r="O1131" i="34"/>
  <c r="O1121" i="34"/>
  <c r="O1116" i="34"/>
  <c r="O1113" i="34"/>
  <c r="O1106" i="34"/>
  <c r="O1103" i="34"/>
  <c r="O1096" i="34"/>
  <c r="O1093" i="34"/>
  <c r="O1074" i="34"/>
  <c r="O1070" i="34"/>
  <c r="O1067" i="34"/>
  <c r="O1063" i="34"/>
  <c r="O1056" i="34"/>
  <c r="O1050" i="34"/>
  <c r="O1044" i="34"/>
  <c r="O1041" i="34"/>
  <c r="O1034" i="34"/>
  <c r="O1028" i="34"/>
  <c r="O1025" i="34"/>
  <c r="O1001" i="34"/>
  <c r="O994" i="34"/>
  <c r="O987" i="34"/>
  <c r="O983" i="34"/>
  <c r="O973" i="34"/>
  <c r="O969" i="34"/>
  <c r="O962" i="34"/>
  <c r="O955" i="34"/>
  <c r="O951" i="34"/>
  <c r="O941" i="34"/>
  <c r="O937" i="34"/>
  <c r="O930" i="34"/>
  <c r="O923" i="34"/>
  <c r="O919" i="34"/>
  <c r="O909" i="34"/>
  <c r="O905" i="34"/>
  <c r="O898" i="34"/>
  <c r="O891" i="34"/>
  <c r="O887" i="34"/>
  <c r="O867" i="34"/>
  <c r="O860" i="34"/>
  <c r="O853" i="34"/>
  <c r="O849" i="34"/>
  <c r="O846" i="34"/>
  <c r="O821" i="34"/>
  <c r="O814" i="34"/>
  <c r="O809" i="34"/>
  <c r="O788" i="34"/>
  <c r="O784" i="34"/>
  <c r="O780" i="34"/>
  <c r="O776" i="34"/>
  <c r="O772" i="34"/>
  <c r="O768" i="34"/>
  <c r="O761" i="34"/>
  <c r="O757" i="34"/>
  <c r="O754" i="34"/>
  <c r="O750" i="34"/>
  <c r="O731" i="34"/>
  <c r="O728" i="34"/>
  <c r="O711" i="34"/>
  <c r="O702" i="34"/>
  <c r="O698" i="34"/>
  <c r="O695" i="34"/>
  <c r="O681" i="34"/>
  <c r="O677" i="34"/>
  <c r="O613" i="34"/>
  <c r="O609" i="34"/>
  <c r="O602" i="34"/>
  <c r="O598" i="34"/>
  <c r="O584" i="34"/>
  <c r="O580" i="34"/>
  <c r="O575" i="34"/>
  <c r="O572" i="34"/>
  <c r="O568" i="34"/>
  <c r="O565" i="34"/>
  <c r="O561" i="34"/>
  <c r="O533" i="34"/>
  <c r="O521" i="34"/>
  <c r="O515" i="34"/>
  <c r="O511" i="34"/>
  <c r="O508" i="34"/>
  <c r="O494" i="34"/>
  <c r="O490" i="34"/>
  <c r="O487" i="34"/>
  <c r="O458" i="34"/>
  <c r="O454" i="34"/>
  <c r="O442" i="34"/>
  <c r="O414" i="34"/>
  <c r="O393" i="34"/>
  <c r="O389" i="34"/>
  <c r="O385" i="34"/>
  <c r="O382" i="34"/>
  <c r="O378" i="34"/>
  <c r="O354" i="34"/>
  <c r="O340" i="34"/>
  <c r="O335" i="34"/>
  <c r="O311" i="34"/>
  <c r="O289" i="34"/>
  <c r="O281" i="34"/>
  <c r="O273" i="34"/>
  <c r="O251" i="34"/>
  <c r="O248" i="34"/>
  <c r="O244" i="34"/>
  <c r="O241" i="34"/>
  <c r="O237" i="34"/>
  <c r="O228" i="34"/>
  <c r="O1247" i="34"/>
  <c r="O1244" i="34"/>
  <c r="O1237" i="34"/>
  <c r="O1233" i="34"/>
  <c r="O1221" i="34"/>
  <c r="O1209" i="34"/>
  <c r="O1201" i="34"/>
  <c r="O1191" i="34"/>
  <c r="O1187" i="34"/>
  <c r="O1184" i="34"/>
  <c r="O1171" i="34"/>
  <c r="O1161" i="34"/>
  <c r="O1155" i="34"/>
  <c r="O1143" i="34"/>
  <c r="O1137" i="34"/>
  <c r="O1133" i="34"/>
  <c r="O1127" i="34"/>
  <c r="O1115" i="34"/>
  <c r="O1112" i="34"/>
  <c r="O1092" i="34"/>
  <c r="O1083" i="34"/>
  <c r="O1080" i="34"/>
  <c r="O1077" i="34"/>
  <c r="O1073" i="34"/>
  <c r="O1069" i="34"/>
  <c r="O1066" i="34"/>
  <c r="O1062" i="34"/>
  <c r="O1059" i="34"/>
  <c r="O1055" i="34"/>
  <c r="O1053" i="34"/>
  <c r="O1049" i="34"/>
  <c r="O1046" i="34"/>
  <c r="O1040" i="34"/>
  <c r="O1037" i="34"/>
  <c r="O1033" i="34"/>
  <c r="O1030" i="34"/>
  <c r="O1024" i="34"/>
  <c r="O1018" i="34"/>
  <c r="O1014" i="34"/>
  <c r="O1010" i="34"/>
  <c r="O1004" i="34"/>
  <c r="O1000" i="34"/>
  <c r="O993" i="34"/>
  <c r="O982" i="34"/>
  <c r="O979" i="34"/>
  <c r="O975" i="34"/>
  <c r="O972" i="34"/>
  <c r="O968" i="34"/>
  <c r="O961" i="34"/>
  <c r="O950" i="34"/>
  <c r="O947" i="34"/>
  <c r="O943" i="34"/>
  <c r="O940" i="34"/>
  <c r="O936" i="34"/>
  <c r="O929" i="34"/>
  <c r="O918" i="34"/>
  <c r="O915" i="34"/>
  <c r="O911" i="34"/>
  <c r="O908" i="34"/>
  <c r="O904" i="34"/>
  <c r="O897" i="34"/>
  <c r="O886" i="34"/>
  <c r="O881" i="34"/>
  <c r="O877" i="34"/>
  <c r="O866" i="34"/>
  <c r="O859" i="34"/>
  <c r="O845" i="34"/>
  <c r="O827" i="34"/>
  <c r="O820" i="34"/>
  <c r="O813" i="34"/>
  <c r="O803" i="34"/>
  <c r="O799" i="34"/>
  <c r="O796" i="34"/>
  <c r="O792" i="34"/>
  <c r="O787" i="34"/>
  <c r="O783" i="34"/>
  <c r="O779" i="34"/>
  <c r="O775" i="34"/>
  <c r="O749" i="34"/>
  <c r="O745" i="34"/>
  <c r="O741" i="34"/>
  <c r="O738" i="34"/>
  <c r="O733" i="34"/>
  <c r="O727" i="34"/>
  <c r="O721" i="34"/>
  <c r="O705" i="34"/>
  <c r="O701" i="34"/>
  <c r="O694" i="34"/>
  <c r="O690" i="34"/>
  <c r="O687" i="34"/>
  <c r="O684" i="34"/>
  <c r="O651" i="34"/>
  <c r="O647" i="34"/>
  <c r="O644" i="34"/>
  <c r="O640" i="34"/>
  <c r="O635" i="34"/>
  <c r="O631" i="34"/>
  <c r="O628" i="34"/>
  <c r="O624" i="34"/>
  <c r="O620" i="34"/>
  <c r="O616" i="34"/>
  <c r="O612" i="34"/>
  <c r="O608" i="34"/>
  <c r="O601" i="34"/>
  <c r="O551" i="34"/>
  <c r="O542" i="34"/>
  <c r="O497" i="34"/>
  <c r="O482" i="34"/>
  <c r="O480" i="34"/>
  <c r="O476" i="34"/>
  <c r="O473" i="34"/>
  <c r="O470" i="34"/>
  <c r="O399" i="34"/>
  <c r="O395" i="34"/>
  <c r="O392" i="34"/>
  <c r="O388" i="34"/>
  <c r="O374" i="34"/>
  <c r="O343" i="34"/>
  <c r="O339" i="34"/>
  <c r="O329" i="34"/>
  <c r="O288" i="34"/>
  <c r="O284" i="34"/>
  <c r="O272" i="34"/>
  <c r="O265" i="34"/>
  <c r="O261" i="34"/>
  <c r="O259" i="34"/>
  <c r="O254" i="34"/>
  <c r="O250" i="34"/>
  <c r="O247" i="34"/>
  <c r="O243" i="34"/>
  <c r="O240" i="34"/>
  <c r="O236" i="34"/>
  <c r="O232" i="34"/>
  <c r="O227" i="34"/>
  <c r="O37" i="34"/>
  <c r="O30" i="34"/>
  <c r="O1109" i="34"/>
  <c r="O1102" i="34"/>
  <c r="O1099" i="34"/>
  <c r="O1089" i="34"/>
  <c r="O1084" i="34"/>
  <c r="O1081" i="34"/>
  <c r="O1071" i="34"/>
  <c r="O1061" i="34"/>
  <c r="O1058" i="34"/>
  <c r="O1052" i="34"/>
  <c r="O1048" i="34"/>
  <c r="O1039" i="34"/>
  <c r="O1036" i="34"/>
  <c r="O1032" i="34"/>
  <c r="O1021" i="34"/>
  <c r="O1015" i="34"/>
  <c r="O1011" i="34"/>
  <c r="O1007" i="34"/>
  <c r="O996" i="34"/>
  <c r="O992" i="34"/>
  <c r="O986" i="34"/>
  <c r="O980" i="34"/>
  <c r="O976" i="34"/>
  <c r="O970" i="34"/>
  <c r="O964" i="34"/>
  <c r="O960" i="34"/>
  <c r="O954" i="34"/>
  <c r="O948" i="34"/>
  <c r="O944" i="34"/>
  <c r="O938" i="34"/>
  <c r="O932" i="34"/>
  <c r="O928" i="34"/>
  <c r="O922" i="34"/>
  <c r="O916" i="34"/>
  <c r="O912" i="34"/>
  <c r="O906" i="34"/>
  <c r="O900" i="34"/>
  <c r="O896" i="34"/>
  <c r="O890" i="34"/>
  <c r="O884" i="34"/>
  <c r="O878" i="34"/>
  <c r="O870" i="34"/>
  <c r="O862" i="34"/>
  <c r="O858" i="34"/>
  <c r="O848" i="34"/>
  <c r="O15" i="34"/>
  <c r="O842" i="34"/>
  <c r="O838" i="34"/>
  <c r="O834" i="34"/>
  <c r="O825" i="34"/>
  <c r="O822" i="34"/>
  <c r="O818" i="34"/>
  <c r="O815" i="34"/>
  <c r="O810" i="34"/>
  <c r="O806" i="34"/>
  <c r="O801" i="34"/>
  <c r="O797" i="34"/>
  <c r="O794" i="34"/>
  <c r="O790" i="34"/>
  <c r="O781" i="34"/>
  <c r="O777" i="34"/>
  <c r="O770" i="34"/>
  <c r="O766" i="34"/>
  <c r="O763" i="34"/>
  <c r="O759" i="34"/>
  <c r="O756" i="34"/>
  <c r="O752" i="34"/>
  <c r="O748" i="34"/>
  <c r="O744" i="34"/>
  <c r="O737" i="34"/>
  <c r="O726" i="34"/>
  <c r="O723" i="34"/>
  <c r="O720" i="34"/>
  <c r="O710" i="34"/>
  <c r="O699" i="34"/>
  <c r="O692" i="34"/>
  <c r="O682" i="34"/>
  <c r="O660" i="34"/>
  <c r="O652" i="34"/>
  <c r="O648" i="34"/>
  <c r="O645" i="34"/>
  <c r="O641" i="34"/>
  <c r="O637" i="34"/>
  <c r="O621" i="34"/>
  <c r="O617" i="34"/>
  <c r="O610" i="34"/>
  <c r="O606" i="34"/>
  <c r="O603" i="34"/>
  <c r="O599" i="34"/>
  <c r="O583" i="34"/>
  <c r="O579" i="34"/>
  <c r="O571" i="34"/>
  <c r="O567" i="34"/>
  <c r="O564" i="34"/>
  <c r="O560" i="34"/>
  <c r="O530" i="34"/>
  <c r="O526" i="34"/>
  <c r="O501" i="34"/>
  <c r="O496" i="34"/>
  <c r="O489" i="34"/>
  <c r="O485" i="34"/>
  <c r="O448" i="34"/>
  <c r="O445" i="34"/>
  <c r="O441" i="34"/>
  <c r="O405" i="34"/>
  <c r="O336" i="34"/>
  <c r="O213" i="34"/>
  <c r="O210" i="34"/>
  <c r="O206" i="34"/>
  <c r="O180" i="34"/>
  <c r="O146" i="34"/>
  <c r="O142" i="34"/>
  <c r="O138" i="34"/>
  <c r="O134" i="34"/>
  <c r="O101" i="34"/>
  <c r="O97" i="34"/>
  <c r="O95" i="34"/>
  <c r="O91" i="34"/>
  <c r="O88" i="34"/>
  <c r="O86" i="34"/>
  <c r="O83" i="34"/>
  <c r="O79" i="34"/>
  <c r="O76" i="34"/>
  <c r="O72" i="34"/>
  <c r="O69" i="34"/>
  <c r="O691" i="34"/>
  <c r="O685" i="34"/>
  <c r="O678" i="34"/>
  <c r="O669" i="34"/>
  <c r="O666" i="34"/>
  <c r="O653" i="34"/>
  <c r="O649" i="34"/>
  <c r="O646" i="34"/>
  <c r="O642" i="34"/>
  <c r="O638" i="34"/>
  <c r="O633" i="34"/>
  <c r="O629" i="34"/>
  <c r="O626" i="34"/>
  <c r="O622" i="34"/>
  <c r="O585" i="34"/>
  <c r="O582" i="34"/>
  <c r="O578" i="34"/>
  <c r="O559" i="34"/>
  <c r="O541" i="34"/>
  <c r="O528" i="34"/>
  <c r="O524" i="34"/>
  <c r="O491" i="34"/>
  <c r="O488" i="34"/>
  <c r="O479" i="34"/>
  <c r="O463" i="34"/>
  <c r="O450" i="34"/>
  <c r="O446" i="34"/>
  <c r="O443" i="34"/>
  <c r="O438" i="34"/>
  <c r="O431" i="34"/>
  <c r="O428" i="34"/>
  <c r="O424" i="34"/>
  <c r="O420" i="34"/>
  <c r="O416" i="34"/>
  <c r="O409" i="34"/>
  <c r="O404" i="34"/>
  <c r="O397" i="34"/>
  <c r="O386" i="34"/>
  <c r="O383" i="34"/>
  <c r="O379" i="34"/>
  <c r="O376" i="34"/>
  <c r="O365" i="34"/>
  <c r="O344" i="34"/>
  <c r="O333" i="34"/>
  <c r="O318" i="34"/>
  <c r="O299" i="34"/>
  <c r="O295" i="34"/>
  <c r="O291" i="34"/>
  <c r="O279" i="34"/>
  <c r="O275" i="34"/>
  <c r="O264" i="34"/>
  <c r="O258" i="34"/>
  <c r="O253" i="34"/>
  <c r="O246" i="34"/>
  <c r="O235" i="34"/>
  <c r="O67" i="34"/>
  <c r="O64" i="34"/>
  <c r="O19" i="34"/>
  <c r="R707" i="34"/>
  <c r="O707" i="34"/>
  <c r="R357" i="34"/>
  <c r="O357" i="34"/>
  <c r="R353" i="34"/>
  <c r="O353" i="34"/>
  <c r="O543" i="34"/>
  <c r="O539" i="34"/>
  <c r="O534" i="34"/>
  <c r="O527" i="34"/>
  <c r="O520" i="34"/>
  <c r="O514" i="34"/>
  <c r="O510" i="34"/>
  <c r="O503" i="34"/>
  <c r="O493" i="34"/>
  <c r="O474" i="34"/>
  <c r="O471" i="34"/>
  <c r="O462" i="34"/>
  <c r="O455" i="34"/>
  <c r="O447" i="34"/>
  <c r="O444" i="34"/>
  <c r="O440" i="34"/>
  <c r="O436" i="34"/>
  <c r="O432" i="34"/>
  <c r="O429" i="34"/>
  <c r="O425" i="34"/>
  <c r="O421" i="34"/>
  <c r="O417" i="34"/>
  <c r="O403" i="34"/>
  <c r="O396" i="34"/>
  <c r="O390" i="34"/>
  <c r="O384" i="34"/>
  <c r="O380" i="34"/>
  <c r="O367" i="34"/>
  <c r="O364" i="34"/>
  <c r="O320" i="34"/>
  <c r="O317" i="34"/>
  <c r="O306" i="34"/>
  <c r="O302" i="34"/>
  <c r="O296" i="34"/>
  <c r="O292" i="34"/>
  <c r="O285" i="34"/>
  <c r="O278" i="34"/>
  <c r="O274" i="34"/>
  <c r="O270" i="34"/>
  <c r="O234" i="34"/>
  <c r="O230" i="34"/>
  <c r="O214" i="34"/>
  <c r="O211" i="34"/>
  <c r="O207" i="34"/>
  <c r="O192" i="34"/>
  <c r="O189" i="34"/>
  <c r="O185" i="34"/>
  <c r="O171" i="34"/>
  <c r="O163" i="34"/>
  <c r="O160" i="34"/>
  <c r="O156" i="34"/>
  <c r="O153" i="34"/>
  <c r="O149" i="34"/>
  <c r="O25" i="34"/>
  <c r="O17" i="34"/>
  <c r="R829" i="34"/>
  <c r="O829" i="34"/>
  <c r="R804" i="34"/>
  <c r="O804" i="34"/>
  <c r="R714" i="34"/>
  <c r="O714" i="34"/>
  <c r="R636" i="34"/>
  <c r="O636" i="34"/>
  <c r="R411" i="34"/>
  <c r="O411" i="34"/>
  <c r="R371" i="34"/>
  <c r="O371" i="34"/>
  <c r="R221" i="34"/>
  <c r="O221" i="34"/>
  <c r="R198" i="34"/>
  <c r="O198" i="34"/>
  <c r="O852" i="34"/>
  <c r="O14" i="34"/>
  <c r="O11" i="34"/>
  <c r="O841" i="34"/>
  <c r="O837" i="34"/>
  <c r="O833" i="34"/>
  <c r="O823" i="34"/>
  <c r="O819" i="34"/>
  <c r="O816" i="34"/>
  <c r="O808" i="34"/>
  <c r="O800" i="34"/>
  <c r="O793" i="34"/>
  <c r="O785" i="34"/>
  <c r="O778" i="34"/>
  <c r="O774" i="34"/>
  <c r="O771" i="34"/>
  <c r="O767" i="34"/>
  <c r="O764" i="34"/>
  <c r="O760" i="34"/>
  <c r="O753" i="34"/>
  <c r="O746" i="34"/>
  <c r="O742" i="34"/>
  <c r="O739" i="34"/>
  <c r="O732" i="34"/>
  <c r="O724" i="34"/>
  <c r="O704" i="34"/>
  <c r="O696" i="34"/>
  <c r="O688" i="34"/>
  <c r="O680" i="34"/>
  <c r="O676" i="34"/>
  <c r="O668" i="34"/>
  <c r="O661" i="34"/>
  <c r="O658" i="34"/>
  <c r="O650" i="34"/>
  <c r="O643" i="34"/>
  <c r="O632" i="34"/>
  <c r="O625" i="34"/>
  <c r="O618" i="34"/>
  <c r="O614" i="34"/>
  <c r="O611" i="34"/>
  <c r="O607" i="34"/>
  <c r="O604" i="34"/>
  <c r="O600" i="34"/>
  <c r="O581" i="34"/>
  <c r="O574" i="34"/>
  <c r="O570" i="34"/>
  <c r="O563" i="34"/>
  <c r="O540" i="34"/>
  <c r="O529" i="34"/>
  <c r="O525" i="34"/>
  <c r="O522" i="34"/>
  <c r="O518" i="34"/>
  <c r="O512" i="34"/>
  <c r="O502" i="34"/>
  <c r="O498" i="34"/>
  <c r="O492" i="34"/>
  <c r="O486" i="34"/>
  <c r="O483" i="34"/>
  <c r="O477" i="34"/>
  <c r="O472" i="34"/>
  <c r="O460" i="34"/>
  <c r="O457" i="34"/>
  <c r="O453" i="34"/>
  <c r="O449" i="34"/>
  <c r="O434" i="34"/>
  <c r="O426" i="34"/>
  <c r="O422" i="34"/>
  <c r="O418" i="34"/>
  <c r="O406" i="34"/>
  <c r="O391" i="34"/>
  <c r="O366" i="34"/>
  <c r="O356" i="34"/>
  <c r="O330" i="34"/>
  <c r="O321" i="34"/>
  <c r="O310" i="34"/>
  <c r="O307" i="34"/>
  <c r="O304" i="34"/>
  <c r="O300" i="34"/>
  <c r="O298" i="34"/>
  <c r="O294" i="34"/>
  <c r="O290" i="34"/>
  <c r="O280" i="34"/>
  <c r="O276" i="34"/>
  <c r="O263" i="34"/>
  <c r="O260" i="34"/>
  <c r="O257" i="34"/>
  <c r="O252" i="34"/>
  <c r="O242" i="34"/>
  <c r="O238" i="34"/>
  <c r="O231" i="34"/>
  <c r="O226" i="34"/>
  <c r="O188" i="34"/>
  <c r="O178" i="34"/>
  <c r="O174" i="34"/>
  <c r="O170" i="34"/>
  <c r="O166" i="34"/>
  <c r="O162" i="34"/>
  <c r="O159" i="34"/>
  <c r="O155" i="34"/>
  <c r="O152" i="34"/>
  <c r="O148" i="34"/>
  <c r="O109" i="34"/>
  <c r="O56" i="34"/>
  <c r="O52" i="34"/>
  <c r="O27" i="34"/>
  <c r="R323" i="34"/>
  <c r="O323" i="34"/>
  <c r="R267" i="34"/>
  <c r="O267" i="34"/>
  <c r="R104" i="34"/>
  <c r="O104" i="34"/>
  <c r="O387" i="34"/>
  <c r="O381" i="34"/>
  <c r="O375" i="34"/>
  <c r="O355" i="34"/>
  <c r="O345" i="34"/>
  <c r="O341" i="34"/>
  <c r="O334" i="34"/>
  <c r="O328" i="34"/>
  <c r="O319" i="34"/>
  <c r="O309" i="34"/>
  <c r="O303" i="34"/>
  <c r="O297" i="34"/>
  <c r="O293" i="34"/>
  <c r="O287" i="34"/>
  <c r="O283" i="34"/>
  <c r="O277" i="34"/>
  <c r="O271" i="34"/>
  <c r="O262" i="34"/>
  <c r="O255" i="34"/>
  <c r="O249" i="34"/>
  <c r="O245" i="34"/>
  <c r="O239" i="34"/>
  <c r="O233" i="34"/>
  <c r="O225" i="34"/>
  <c r="O216" i="34"/>
  <c r="O205" i="34"/>
  <c r="O175" i="34"/>
  <c r="O168" i="34"/>
  <c r="O164" i="34"/>
  <c r="O154" i="34"/>
  <c r="O150" i="34"/>
  <c r="O143" i="34"/>
  <c r="O136" i="34"/>
  <c r="O132" i="34"/>
  <c r="O129" i="34"/>
  <c r="O125" i="34"/>
  <c r="O123" i="34"/>
  <c r="O119" i="34"/>
  <c r="O114" i="34"/>
  <c r="O107" i="34"/>
  <c r="O103" i="34"/>
  <c r="O99" i="34"/>
  <c r="O96" i="34"/>
  <c r="O93" i="34"/>
  <c r="O89" i="34"/>
  <c r="O87" i="34"/>
  <c r="O81" i="34"/>
  <c r="O71" i="34"/>
  <c r="O62" i="34"/>
  <c r="O59" i="34"/>
  <c r="O39" i="34"/>
  <c r="O31" i="34"/>
  <c r="O23" i="34"/>
  <c r="R202" i="34"/>
  <c r="O202" i="34"/>
  <c r="R183" i="34"/>
  <c r="O183" i="34"/>
  <c r="R18" i="34"/>
  <c r="O18" i="34"/>
  <c r="R674" i="34"/>
  <c r="R670" i="34"/>
  <c r="R655" i="34"/>
  <c r="R594" i="34"/>
  <c r="R590" i="34"/>
  <c r="R587" i="34"/>
  <c r="R553" i="34"/>
  <c r="R549" i="34"/>
  <c r="R535" i="34"/>
  <c r="R531" i="34"/>
  <c r="R504" i="34"/>
  <c r="R413" i="34"/>
  <c r="R370" i="34"/>
  <c r="R363" i="34"/>
  <c r="R193" i="34"/>
  <c r="O193" i="34"/>
  <c r="R133" i="34"/>
  <c r="R117" i="34"/>
  <c r="R105" i="34"/>
  <c r="R35" i="34"/>
  <c r="O179" i="34"/>
  <c r="O176" i="34"/>
  <c r="O172" i="34"/>
  <c r="O169" i="34"/>
  <c r="O165" i="34"/>
  <c r="O158" i="34"/>
  <c r="O147" i="34"/>
  <c r="O144" i="34"/>
  <c r="O140" i="34"/>
  <c r="O137" i="34"/>
  <c r="O130" i="34"/>
  <c r="O126" i="34"/>
  <c r="O120" i="34"/>
  <c r="O115" i="34"/>
  <c r="O108" i="34"/>
  <c r="O100" i="34"/>
  <c r="O94" i="34"/>
  <c r="O90" i="34"/>
  <c r="O85" i="34"/>
  <c r="O82" i="34"/>
  <c r="O75" i="34"/>
  <c r="O68" i="34"/>
  <c r="O65" i="34"/>
  <c r="O60" i="34"/>
  <c r="O57" i="34"/>
  <c r="O51" i="34"/>
  <c r="O40" i="34"/>
  <c r="O36" i="34"/>
  <c r="O29" i="34"/>
  <c r="O20" i="34"/>
  <c r="R34" i="34"/>
  <c r="O34" i="34"/>
  <c r="O215" i="34"/>
  <c r="O209" i="34"/>
  <c r="O190" i="34"/>
  <c r="O186" i="34"/>
  <c r="O177" i="34"/>
  <c r="O173" i="34"/>
  <c r="O167" i="34"/>
  <c r="O161" i="34"/>
  <c r="O157" i="34"/>
  <c r="O151" i="34"/>
  <c r="O145" i="34"/>
  <c r="O141" i="34"/>
  <c r="O135" i="34"/>
  <c r="O128" i="34"/>
  <c r="O122" i="34"/>
  <c r="O118" i="34"/>
  <c r="O113" i="34"/>
  <c r="O110" i="34"/>
  <c r="O102" i="34"/>
  <c r="O98" i="34"/>
  <c r="O92" i="34"/>
  <c r="O84" i="34"/>
  <c r="O78" i="34"/>
  <c r="O74" i="34"/>
  <c r="O55" i="34"/>
  <c r="O47" i="34"/>
  <c r="O38" i="34"/>
  <c r="R830" i="34"/>
  <c r="R812" i="34"/>
  <c r="R789" i="34"/>
  <c r="R718" i="34"/>
  <c r="R715" i="34"/>
  <c r="R672" i="34"/>
  <c r="R657" i="34"/>
  <c r="R596" i="34"/>
  <c r="R592" i="34"/>
  <c r="R577" i="34"/>
  <c r="R555" i="34"/>
  <c r="R547" i="34"/>
  <c r="R537" i="34"/>
  <c r="R506" i="34"/>
  <c r="R467" i="34"/>
  <c r="R452" i="34"/>
  <c r="R401" i="34"/>
  <c r="R359" i="34"/>
  <c r="R326" i="34"/>
  <c r="R322" i="34"/>
  <c r="R314" i="34"/>
  <c r="R222" i="34"/>
  <c r="R219" i="34"/>
  <c r="R204" i="34"/>
  <c r="R182" i="34"/>
  <c r="K20" i="55"/>
  <c r="G42" i="71"/>
  <c r="D57" i="71"/>
  <c r="K91" i="55"/>
  <c r="K159" i="55"/>
  <c r="G14" i="55"/>
  <c r="K73" i="55"/>
  <c r="E48" i="71"/>
  <c r="G18" i="14"/>
  <c r="C16" i="14"/>
  <c r="B20" i="14"/>
  <c r="E16" i="14"/>
  <c r="D15" i="14"/>
  <c r="D20" i="14"/>
  <c r="B18" i="14"/>
  <c r="B16" i="14"/>
  <c r="F20" i="14"/>
  <c r="F17" i="14"/>
  <c r="A52" i="71"/>
  <c r="F58" i="71"/>
  <c r="A51" i="71"/>
  <c r="F56" i="71"/>
  <c r="E50" i="71"/>
  <c r="C56" i="71"/>
  <c r="B50" i="71"/>
  <c r="A57" i="71"/>
  <c r="B42" i="71"/>
  <c r="G47" i="71"/>
  <c r="D47" i="71"/>
  <c r="D46" i="71"/>
  <c r="D45" i="71"/>
  <c r="A35" i="71"/>
  <c r="F40" i="71"/>
  <c r="C36" i="71"/>
  <c r="A33" i="71"/>
  <c r="F38" i="71"/>
  <c r="G34" i="71"/>
  <c r="A41" i="14"/>
  <c r="E45" i="14"/>
  <c r="A40" i="14"/>
  <c r="A43" i="14"/>
  <c r="D39" i="14"/>
  <c r="G49" i="14"/>
  <c r="C41" i="14"/>
  <c r="E38" i="14"/>
  <c r="B43" i="14"/>
  <c r="F47" i="14"/>
  <c r="B49" i="14"/>
  <c r="C24" i="14"/>
  <c r="G28" i="14"/>
  <c r="D33" i="14"/>
  <c r="A29" i="14"/>
  <c r="B33" i="14"/>
  <c r="A25" i="14"/>
  <c r="C35" i="14"/>
  <c r="E24" i="14"/>
  <c r="A32" i="14"/>
  <c r="G25" i="14"/>
  <c r="D30" i="14"/>
  <c r="A35" i="14"/>
  <c r="G35" i="14"/>
  <c r="E14" i="71"/>
  <c r="A22" i="71"/>
  <c r="C28" i="71"/>
  <c r="F22" i="71"/>
  <c r="E19" i="71"/>
  <c r="K169" i="55"/>
  <c r="D52" i="71"/>
  <c r="B52" i="71"/>
  <c r="F49" i="71"/>
  <c r="K153" i="55"/>
  <c r="K145" i="55"/>
  <c r="K180" i="55"/>
  <c r="K174" i="55"/>
  <c r="O1226" i="34"/>
  <c r="Q1226" i="34"/>
  <c r="P1226" i="34"/>
  <c r="U1226" i="34"/>
  <c r="Y1226" i="34"/>
  <c r="Q1208" i="34"/>
  <c r="O1208" i="34"/>
  <c r="P1208" i="34"/>
  <c r="U1208" i="34"/>
  <c r="Y1208" i="34"/>
  <c r="O1190" i="34"/>
  <c r="Q1190" i="34"/>
  <c r="P1190" i="34"/>
  <c r="U1190" i="34"/>
  <c r="Y1190" i="34"/>
  <c r="O1183" i="34"/>
  <c r="P1183" i="34"/>
  <c r="U1183" i="34"/>
  <c r="Y1183" i="34"/>
  <c r="Q1183" i="34"/>
  <c r="O1154" i="34"/>
  <c r="Q1154" i="34"/>
  <c r="P1154" i="34"/>
  <c r="U1154" i="34"/>
  <c r="Y1154" i="34"/>
  <c r="K65" i="55"/>
  <c r="K138" i="55"/>
  <c r="K106" i="55"/>
  <c r="K118" i="55"/>
  <c r="O1242" i="34"/>
  <c r="Q1242" i="34"/>
  <c r="P1242" i="34"/>
  <c r="U1242" i="34"/>
  <c r="Q1216" i="34"/>
  <c r="O1216" i="34"/>
  <c r="P1216" i="34"/>
  <c r="U1216" i="34"/>
  <c r="Y1216" i="34"/>
  <c r="O1211" i="34"/>
  <c r="Q1211" i="34"/>
  <c r="O1182" i="34"/>
  <c r="Q1182" i="34"/>
  <c r="P1182" i="34"/>
  <c r="U1182" i="34"/>
  <c r="Y1182" i="34"/>
  <c r="O1176" i="34"/>
  <c r="Q1176" i="34"/>
  <c r="P1176" i="34"/>
  <c r="U1176" i="34"/>
  <c r="Y1176" i="34"/>
  <c r="O1166" i="34"/>
  <c r="Q1166" i="34"/>
  <c r="P1166" i="34"/>
  <c r="U1166" i="34"/>
  <c r="Y1166" i="34"/>
  <c r="O1148" i="34"/>
  <c r="Q1148" i="34"/>
  <c r="P1148" i="34"/>
  <c r="U1148" i="34"/>
  <c r="Y1148" i="34"/>
  <c r="O1122" i="34"/>
  <c r="Q1122" i="34"/>
  <c r="P1122" i="34"/>
  <c r="U1122" i="34"/>
  <c r="Y1122" i="34"/>
  <c r="A14" i="14"/>
  <c r="A16" i="14"/>
  <c r="E21" i="14"/>
  <c r="D21" i="14"/>
  <c r="A14" i="71"/>
  <c r="A66" i="71" s="1"/>
  <c r="D14" i="71"/>
  <c r="A25" i="71"/>
  <c r="D18" i="71"/>
  <c r="F23" i="71"/>
  <c r="E28" i="71"/>
  <c r="C22" i="71"/>
  <c r="G17" i="71"/>
  <c r="B14" i="71"/>
  <c r="D24" i="71"/>
  <c r="C17" i="71"/>
  <c r="F26" i="71"/>
  <c r="E26" i="71"/>
  <c r="C20" i="71"/>
  <c r="B15" i="71"/>
  <c r="C31" i="14"/>
  <c r="G33" i="14"/>
  <c r="C29" i="14"/>
  <c r="F24" i="14"/>
  <c r="A28" i="14"/>
  <c r="D23" i="14"/>
  <c r="D32" i="14"/>
  <c r="G23" i="14"/>
  <c r="C30" i="14"/>
  <c r="G36" i="14"/>
  <c r="C32" i="14"/>
  <c r="F27" i="14"/>
  <c r="B23" i="14"/>
  <c r="B45" i="14"/>
  <c r="E46" i="14"/>
  <c r="A42" i="14"/>
  <c r="D37" i="14"/>
  <c r="B40" i="14"/>
  <c r="B44" i="14"/>
  <c r="C38" i="14"/>
  <c r="E48" i="14"/>
  <c r="A49" i="14"/>
  <c r="D44" i="14"/>
  <c r="G39" i="14"/>
  <c r="D39" i="71"/>
  <c r="F33" i="71"/>
  <c r="E37" i="71"/>
  <c r="G40" i="71"/>
  <c r="B35" i="71"/>
  <c r="E39" i="71"/>
  <c r="F32" i="71"/>
  <c r="C44" i="71"/>
  <c r="C45" i="71"/>
  <c r="B45" i="71"/>
  <c r="F46" i="71"/>
  <c r="A41" i="71"/>
  <c r="F54" i="71"/>
  <c r="A49" i="71"/>
  <c r="B55" i="71"/>
  <c r="C48" i="71"/>
  <c r="E55" i="71"/>
  <c r="G49" i="71"/>
  <c r="E56" i="71"/>
  <c r="G50" i="71"/>
  <c r="K120" i="55"/>
  <c r="O1238" i="34"/>
  <c r="Q1238" i="34"/>
  <c r="P1238" i="34"/>
  <c r="U1238" i="34"/>
  <c r="Y1238" i="34"/>
  <c r="O1234" i="34"/>
  <c r="Q1234" i="34"/>
  <c r="P1234" i="34"/>
  <c r="U1234" i="34"/>
  <c r="Y1234" i="34"/>
  <c r="Q1224" i="34"/>
  <c r="O1224" i="34"/>
  <c r="P1224" i="34"/>
  <c r="U1224" i="34"/>
  <c r="Y1224" i="34"/>
  <c r="Q1219" i="34"/>
  <c r="O1219" i="34"/>
  <c r="O1210" i="34"/>
  <c r="Q1210" i="34"/>
  <c r="P1210" i="34"/>
  <c r="U1210" i="34"/>
  <c r="Y1210" i="34"/>
  <c r="O1204" i="34"/>
  <c r="Q1204" i="34"/>
  <c r="P1204" i="34"/>
  <c r="U1204" i="34"/>
  <c r="Y1204" i="34"/>
  <c r="Q1199" i="34"/>
  <c r="O1199" i="34"/>
  <c r="O1172" i="34"/>
  <c r="Q1172" i="34"/>
  <c r="P1172" i="34"/>
  <c r="U1172" i="34"/>
  <c r="Y1172" i="34"/>
  <c r="O1162" i="34"/>
  <c r="Q1162" i="34"/>
  <c r="P1162" i="34"/>
  <c r="U1162" i="34"/>
  <c r="Y1162" i="34"/>
  <c r="O1138" i="34"/>
  <c r="Q1138" i="34"/>
  <c r="P1138" i="34"/>
  <c r="U1138" i="34"/>
  <c r="Y1138" i="34"/>
  <c r="O1128" i="34"/>
  <c r="Q1128" i="34"/>
  <c r="P1128" i="34"/>
  <c r="U1128" i="34"/>
  <c r="Y1128" i="34"/>
  <c r="A15" i="71"/>
  <c r="G20" i="71"/>
  <c r="E29" i="71"/>
  <c r="C23" i="71"/>
  <c r="B16" i="71"/>
  <c r="F27" i="71"/>
  <c r="B27" i="71"/>
  <c r="E20" i="71"/>
  <c r="G21" i="71"/>
  <c r="C29" i="71"/>
  <c r="A23" i="71"/>
  <c r="E15" i="71"/>
  <c r="F30" i="71"/>
  <c r="B25" i="71"/>
  <c r="E18" i="71"/>
  <c r="A36" i="14"/>
  <c r="G27" i="14"/>
  <c r="F32" i="14"/>
  <c r="B28" i="14"/>
  <c r="E23" i="14"/>
  <c r="G26" i="14"/>
  <c r="C22" i="14"/>
  <c r="D28" i="14"/>
  <c r="F22" i="14"/>
  <c r="F34" i="14"/>
  <c r="F35" i="14"/>
  <c r="B31" i="14"/>
  <c r="E26" i="14"/>
  <c r="A22" i="14"/>
  <c r="B41" i="14"/>
  <c r="D45" i="14"/>
  <c r="G40" i="14"/>
  <c r="G45" i="14"/>
  <c r="A39" i="14"/>
  <c r="C46" i="14"/>
  <c r="B37" i="14"/>
  <c r="F45" i="14"/>
  <c r="G47" i="14"/>
  <c r="C43" i="14"/>
  <c r="F38" i="14"/>
  <c r="K50" i="55"/>
  <c r="C38" i="71"/>
  <c r="E32" i="71"/>
  <c r="C35" i="71"/>
  <c r="F39" i="71"/>
  <c r="A34" i="71"/>
  <c r="C37" i="71"/>
  <c r="E31" i="71"/>
  <c r="B43" i="71"/>
  <c r="A43" i="71"/>
  <c r="A44" i="71"/>
  <c r="E45" i="71"/>
  <c r="A59" i="71"/>
  <c r="E53" i="71"/>
  <c r="E60" i="71"/>
  <c r="G52" i="71"/>
  <c r="G59" i="71"/>
  <c r="D54" i="71"/>
  <c r="G60" i="71"/>
  <c r="D55" i="71"/>
  <c r="K32" i="55"/>
  <c r="K37" i="55"/>
  <c r="O1227" i="34"/>
  <c r="Q1227" i="34"/>
  <c r="O1218" i="34"/>
  <c r="Q1218" i="34"/>
  <c r="P1218" i="34"/>
  <c r="U1218" i="34"/>
  <c r="Y1218" i="34"/>
  <c r="O1198" i="34"/>
  <c r="Q1198" i="34"/>
  <c r="P1198" i="34"/>
  <c r="U1198" i="34"/>
  <c r="Y1198" i="34"/>
  <c r="Q1180" i="34"/>
  <c r="O1180" i="34"/>
  <c r="P1180" i="34"/>
  <c r="U1180" i="34"/>
  <c r="Y1180" i="34"/>
  <c r="O1168" i="34"/>
  <c r="Q1168" i="34"/>
  <c r="P1168" i="34"/>
  <c r="U1168" i="34"/>
  <c r="Y1168" i="34"/>
  <c r="O1158" i="34"/>
  <c r="Q1158" i="34"/>
  <c r="P1158" i="34"/>
  <c r="U1158" i="34"/>
  <c r="Y1158" i="34"/>
  <c r="V825" i="34"/>
  <c r="W494" i="34"/>
  <c r="V132" i="34"/>
  <c r="O433" i="34"/>
  <c r="R433" i="34"/>
  <c r="R410" i="34"/>
  <c r="O410" i="34"/>
  <c r="R352" i="34"/>
  <c r="O352" i="34"/>
  <c r="O337" i="34"/>
  <c r="R337" i="34"/>
  <c r="R266" i="34"/>
  <c r="O266" i="34"/>
  <c r="R197" i="34"/>
  <c r="O197" i="34"/>
  <c r="R106" i="34"/>
  <c r="O106" i="34"/>
  <c r="R451" i="34"/>
  <c r="O451" i="34"/>
  <c r="O372" i="34"/>
  <c r="R372" i="34"/>
  <c r="R348" i="34"/>
  <c r="O348" i="34"/>
  <c r="R325" i="34"/>
  <c r="O325" i="34"/>
  <c r="R229" i="34"/>
  <c r="O229" i="34"/>
  <c r="R46" i="34"/>
  <c r="O46" i="34"/>
  <c r="R465" i="34"/>
  <c r="O465" i="34"/>
  <c r="R368" i="34"/>
  <c r="O368" i="34"/>
  <c r="R256" i="34"/>
  <c r="O256" i="34"/>
  <c r="R116" i="34"/>
  <c r="O116" i="34"/>
  <c r="K21" i="55"/>
  <c r="K23" i="55" s="1"/>
  <c r="G23" i="55"/>
  <c r="I23" i="55"/>
  <c r="K31" i="55"/>
  <c r="K150" i="55"/>
  <c r="K154" i="55"/>
  <c r="K167" i="55"/>
  <c r="K46" i="55"/>
  <c r="K27" i="55"/>
  <c r="K127" i="55"/>
  <c r="K177" i="55"/>
  <c r="K52" i="55"/>
  <c r="K105" i="55"/>
  <c r="K95" i="55"/>
  <c r="K41" i="55"/>
  <c r="K90" i="55"/>
  <c r="K93" i="55"/>
  <c r="K101" i="55"/>
  <c r="K125" i="55"/>
  <c r="K179" i="55"/>
  <c r="K28" i="55"/>
  <c r="E40" i="71"/>
  <c r="A36" i="71"/>
  <c r="D31" i="71"/>
  <c r="D36" i="71"/>
  <c r="G31" i="71"/>
  <c r="D37" i="71"/>
  <c r="G32" i="71"/>
  <c r="D38" i="71"/>
  <c r="G33" i="71"/>
  <c r="E46" i="71"/>
  <c r="A42" i="71"/>
  <c r="B44" i="71"/>
  <c r="C46" i="71"/>
  <c r="F41" i="71"/>
  <c r="D44" i="71"/>
  <c r="B60" i="71"/>
  <c r="G55" i="71"/>
  <c r="C51" i="71"/>
  <c r="D59" i="71"/>
  <c r="A54" i="71"/>
  <c r="D49" i="71"/>
  <c r="G57" i="71"/>
  <c r="C53" i="71"/>
  <c r="F48" i="71"/>
  <c r="F57" i="71"/>
  <c r="B53" i="71"/>
  <c r="K35" i="55"/>
  <c r="K38" i="55"/>
  <c r="K78" i="55"/>
  <c r="K92" i="55"/>
  <c r="K128" i="55"/>
  <c r="A48" i="71"/>
  <c r="C50" i="71"/>
  <c r="E52" i="71"/>
  <c r="G54" i="71"/>
  <c r="B57" i="71"/>
  <c r="B59" i="71"/>
  <c r="B48" i="71"/>
  <c r="D50" i="71"/>
  <c r="F52" i="71"/>
  <c r="A55" i="71"/>
  <c r="C57" i="71"/>
  <c r="C59" i="71"/>
  <c r="G48" i="71"/>
  <c r="B51" i="71"/>
  <c r="D53" i="71"/>
  <c r="F55" i="71"/>
  <c r="D58" i="71"/>
  <c r="D48" i="71"/>
  <c r="F50" i="71"/>
  <c r="A53" i="71"/>
  <c r="C55" i="71"/>
  <c r="E57" i="71"/>
  <c r="E59" i="71"/>
  <c r="E41" i="71"/>
  <c r="G43" i="71"/>
  <c r="B46" i="71"/>
  <c r="B41" i="71"/>
  <c r="D43" i="71"/>
  <c r="F45" i="71"/>
  <c r="C41" i="71"/>
  <c r="E43" i="71"/>
  <c r="G45" i="71"/>
  <c r="D41" i="71"/>
  <c r="F43" i="71"/>
  <c r="A46" i="71"/>
  <c r="A31" i="71"/>
  <c r="C33" i="71"/>
  <c r="E35" i="71"/>
  <c r="G37" i="71"/>
  <c r="B40" i="71"/>
  <c r="C32" i="71"/>
  <c r="E34" i="71"/>
  <c r="G36" i="71"/>
  <c r="B39" i="71"/>
  <c r="C31" i="71"/>
  <c r="E33" i="71"/>
  <c r="G35" i="71"/>
  <c r="B38" i="71"/>
  <c r="D40" i="71"/>
  <c r="B33" i="71"/>
  <c r="D35" i="71"/>
  <c r="F37" i="71"/>
  <c r="A40" i="71"/>
  <c r="B38" i="14"/>
  <c r="D40" i="14"/>
  <c r="F42" i="14"/>
  <c r="A45" i="14"/>
  <c r="C47" i="14"/>
  <c r="E49" i="14"/>
  <c r="E44" i="14"/>
  <c r="F49" i="14"/>
  <c r="B48" i="14"/>
  <c r="G38" i="14"/>
  <c r="A44" i="14"/>
  <c r="E47" i="14"/>
  <c r="D38" i="14"/>
  <c r="F40" i="14"/>
  <c r="E43" i="14"/>
  <c r="A38" i="14"/>
  <c r="C40" i="14"/>
  <c r="E42" i="14"/>
  <c r="G44" i="14"/>
  <c r="B47" i="14"/>
  <c r="D49" i="14"/>
  <c r="G46" i="14"/>
  <c r="C49" i="14"/>
  <c r="F23" i="14"/>
  <c r="A26" i="14"/>
  <c r="C28" i="14"/>
  <c r="E30" i="14"/>
  <c r="G32" i="14"/>
  <c r="B35" i="14"/>
  <c r="C27" i="14"/>
  <c r="A33" i="14"/>
  <c r="D31" i="14"/>
  <c r="B22" i="14"/>
  <c r="D24" i="14"/>
  <c r="F26" i="14"/>
  <c r="B34" i="14"/>
  <c r="C34" i="14"/>
  <c r="A24" i="14"/>
  <c r="C26" i="14"/>
  <c r="B29" i="14"/>
  <c r="A23" i="14"/>
  <c r="C25" i="14"/>
  <c r="E27" i="14"/>
  <c r="G29" i="14"/>
  <c r="B32" i="14"/>
  <c r="D34" i="14"/>
  <c r="F36" i="14"/>
  <c r="E33" i="14"/>
  <c r="F33" i="14"/>
  <c r="G16" i="71"/>
  <c r="B17" i="71"/>
  <c r="B21" i="71"/>
  <c r="C24" i="71"/>
  <c r="D27" i="71"/>
  <c r="E30" i="71"/>
  <c r="F24" i="71"/>
  <c r="F16" i="71"/>
  <c r="B18" i="71"/>
  <c r="B22" i="71"/>
  <c r="C25" i="71"/>
  <c r="D28" i="71"/>
  <c r="F14" i="71"/>
  <c r="G23" i="71"/>
  <c r="G15" i="71"/>
  <c r="B19" i="71"/>
  <c r="B23" i="71"/>
  <c r="C26" i="71"/>
  <c r="D29" i="71"/>
  <c r="F29" i="71"/>
  <c r="F21" i="71"/>
  <c r="C15" i="71"/>
  <c r="C19" i="71"/>
  <c r="D22" i="71"/>
  <c r="E25" i="71"/>
  <c r="A29" i="71"/>
  <c r="G30" i="71"/>
  <c r="G22" i="71"/>
  <c r="A19" i="71"/>
  <c r="A16" i="71"/>
  <c r="B49" i="71"/>
  <c r="D51" i="71"/>
  <c r="F53" i="71"/>
  <c r="A56" i="71"/>
  <c r="B58" i="71"/>
  <c r="C60" i="71"/>
  <c r="C49" i="71"/>
  <c r="E51" i="71"/>
  <c r="G53" i="71"/>
  <c r="B56" i="71"/>
  <c r="C58" i="71"/>
  <c r="D60" i="71"/>
  <c r="A50" i="71"/>
  <c r="C52" i="71"/>
  <c r="E54" i="71"/>
  <c r="G56" i="71"/>
  <c r="A60" i="71"/>
  <c r="E49" i="71"/>
  <c r="G51" i="71"/>
  <c r="B54" i="71"/>
  <c r="D56" i="71"/>
  <c r="E58" i="71"/>
  <c r="F60" i="71"/>
  <c r="F42" i="71"/>
  <c r="A45" i="71"/>
  <c r="C47" i="71"/>
  <c r="C42" i="71"/>
  <c r="E44" i="71"/>
  <c r="G46" i="71"/>
  <c r="D42" i="71"/>
  <c r="F44" i="71"/>
  <c r="A47" i="71"/>
  <c r="E42" i="71"/>
  <c r="G44" i="71"/>
  <c r="B47" i="71"/>
  <c r="B32" i="71"/>
  <c r="D34" i="71"/>
  <c r="F36" i="71"/>
  <c r="A39" i="71"/>
  <c r="B31" i="71"/>
  <c r="D33" i="71"/>
  <c r="F35" i="71"/>
  <c r="A38" i="71"/>
  <c r="C40" i="71"/>
  <c r="D32" i="71"/>
  <c r="F34" i="71"/>
  <c r="A37" i="71"/>
  <c r="C39" i="71"/>
  <c r="A32" i="71"/>
  <c r="C34" i="71"/>
  <c r="E36" i="71"/>
  <c r="G38" i="71"/>
  <c r="A37" i="14"/>
  <c r="C39" i="14"/>
  <c r="E41" i="14"/>
  <c r="G43" i="14"/>
  <c r="B46" i="14"/>
  <c r="D48" i="14"/>
  <c r="F41" i="14"/>
  <c r="D47" i="14"/>
  <c r="C45" i="14"/>
  <c r="F37" i="14"/>
  <c r="E40" i="14"/>
  <c r="A48" i="14"/>
  <c r="C37" i="14"/>
  <c r="E39" i="14"/>
  <c r="G41" i="14"/>
  <c r="F48" i="14"/>
  <c r="B39" i="14"/>
  <c r="D41" i="14"/>
  <c r="F43" i="14"/>
  <c r="A46" i="14"/>
  <c r="C48" i="14"/>
  <c r="G42" i="14"/>
  <c r="F44" i="14"/>
  <c r="E22" i="14"/>
  <c r="G24" i="14"/>
  <c r="B27" i="14"/>
  <c r="D29" i="14"/>
  <c r="F31" i="14"/>
  <c r="A34" i="14"/>
  <c r="C36" i="14"/>
  <c r="F30" i="14"/>
  <c r="D36" i="14"/>
  <c r="G34" i="14"/>
  <c r="C23" i="14"/>
  <c r="E25" i="14"/>
  <c r="B30" i="14"/>
  <c r="F29" i="14"/>
  <c r="G22" i="14"/>
  <c r="B25" i="14"/>
  <c r="D27" i="14"/>
  <c r="D35" i="14"/>
  <c r="B24" i="14"/>
  <c r="D26" i="14"/>
  <c r="F28" i="14"/>
  <c r="A31" i="14"/>
  <c r="C33" i="14"/>
  <c r="E35" i="14"/>
  <c r="E29" i="14"/>
  <c r="E28" i="14"/>
  <c r="D15" i="71"/>
  <c r="D19" i="71"/>
  <c r="E22" i="71"/>
  <c r="A26" i="71"/>
  <c r="B29" i="71"/>
  <c r="F28" i="71"/>
  <c r="F20" i="71"/>
  <c r="D16" i="71"/>
  <c r="D20" i="71"/>
  <c r="E23" i="71"/>
  <c r="A27" i="71"/>
  <c r="B30" i="71"/>
  <c r="G27" i="71"/>
  <c r="G19" i="71"/>
  <c r="D17" i="71"/>
  <c r="D21" i="71"/>
  <c r="E24" i="71"/>
  <c r="A28" i="71"/>
  <c r="C14" i="71"/>
  <c r="F25" i="71"/>
  <c r="F17" i="71"/>
  <c r="E17" i="71"/>
  <c r="A21" i="71"/>
  <c r="B24" i="71"/>
  <c r="C27" i="71"/>
  <c r="D30" i="71"/>
  <c r="G26" i="71"/>
  <c r="G18" i="71"/>
  <c r="A17" i="71"/>
  <c r="K15" i="34"/>
  <c r="K1400" i="34" s="1"/>
  <c r="K160" i="55"/>
  <c r="K48" i="55"/>
  <c r="K68" i="55"/>
  <c r="K117" i="55"/>
  <c r="K26" i="55"/>
  <c r="K30" i="55"/>
  <c r="K113" i="55"/>
  <c r="K132" i="55"/>
  <c r="K75" i="55"/>
  <c r="K96" i="55"/>
  <c r="K152" i="55"/>
  <c r="K148" i="55"/>
  <c r="O1391" i="34"/>
  <c r="P1391" i="34"/>
  <c r="U1391" i="34"/>
  <c r="Y1391" i="34"/>
  <c r="Q1391" i="34"/>
  <c r="Q1386" i="34"/>
  <c r="A1386" i="34"/>
  <c r="O1386" i="34"/>
  <c r="P1386" i="34"/>
  <c r="U1386" i="34"/>
  <c r="Y1386" i="34"/>
  <c r="P1381" i="34"/>
  <c r="U1381" i="34"/>
  <c r="Y1381" i="34"/>
  <c r="Q1381" i="34"/>
  <c r="O1381" i="34"/>
  <c r="A1381" i="34"/>
  <c r="Q1378" i="34"/>
  <c r="A1378" i="34"/>
  <c r="O1378" i="34"/>
  <c r="P1378" i="34"/>
  <c r="U1378" i="34"/>
  <c r="Y1378" i="34"/>
  <c r="O1375" i="34"/>
  <c r="P1375" i="34"/>
  <c r="U1375" i="34"/>
  <c r="Y1375" i="34"/>
  <c r="Q1375" i="34"/>
  <c r="P1345" i="34"/>
  <c r="U1345" i="34"/>
  <c r="Y1345" i="34"/>
  <c r="Q1345" i="34"/>
  <c r="O1345" i="34"/>
  <c r="A1345" i="34"/>
  <c r="Q1342" i="34"/>
  <c r="A1342" i="34"/>
  <c r="O1342" i="34"/>
  <c r="P1342" i="34"/>
  <c r="U1342" i="34"/>
  <c r="Y1342" i="34"/>
  <c r="P1329" i="34"/>
  <c r="U1329" i="34"/>
  <c r="Y1329" i="34"/>
  <c r="Q1329" i="34"/>
  <c r="O1329" i="34"/>
  <c r="A1329" i="34"/>
  <c r="P1321" i="34"/>
  <c r="U1321" i="34"/>
  <c r="Y1321" i="34"/>
  <c r="Q1321" i="34"/>
  <c r="O1321" i="34"/>
  <c r="A1321" i="34"/>
  <c r="Q1318" i="34"/>
  <c r="A1318" i="34"/>
  <c r="O1318" i="34"/>
  <c r="P1318" i="34"/>
  <c r="U1318" i="34"/>
  <c r="Y1318" i="34"/>
  <c r="O1315" i="34"/>
  <c r="P1315" i="34"/>
  <c r="U1315" i="34"/>
  <c r="Y1315" i="34"/>
  <c r="A1315" i="34"/>
  <c r="Q1315" i="34"/>
  <c r="P1305" i="34"/>
  <c r="U1305" i="34"/>
  <c r="Y1305" i="34"/>
  <c r="Q1305" i="34"/>
  <c r="O1305" i="34"/>
  <c r="A1305" i="34"/>
  <c r="Q1390" i="34"/>
  <c r="A1390" i="34"/>
  <c r="O1390" i="34"/>
  <c r="P1390" i="34"/>
  <c r="U1390" i="34"/>
  <c r="Y1390" i="34"/>
  <c r="P1377" i="34"/>
  <c r="U1377" i="34"/>
  <c r="Y1377" i="34"/>
  <c r="Q1377" i="34"/>
  <c r="O1377" i="34"/>
  <c r="A1377" i="34"/>
  <c r="Q1374" i="34"/>
  <c r="A1374" i="34"/>
  <c r="O1374" i="34"/>
  <c r="P1374" i="34"/>
  <c r="U1374" i="34"/>
  <c r="Y1374" i="34"/>
  <c r="O1351" i="34"/>
  <c r="P1351" i="34"/>
  <c r="U1351" i="34"/>
  <c r="Y1351" i="34"/>
  <c r="Q1351" i="34"/>
  <c r="O1335" i="34"/>
  <c r="P1335" i="34"/>
  <c r="U1335" i="34"/>
  <c r="Y1335" i="34"/>
  <c r="A1335" i="34"/>
  <c r="Q1335" i="34"/>
  <c r="P1317" i="34"/>
  <c r="U1317" i="34"/>
  <c r="Y1317" i="34"/>
  <c r="Q1317" i="34"/>
  <c r="O1317" i="34"/>
  <c r="A1317" i="34"/>
  <c r="Q1314" i="34"/>
  <c r="A1314" i="34"/>
  <c r="O1314" i="34"/>
  <c r="P1314" i="34"/>
  <c r="U1314" i="34"/>
  <c r="Y1314" i="34"/>
  <c r="O1311" i="34"/>
  <c r="P1311" i="34"/>
  <c r="U1311" i="34"/>
  <c r="Y1311" i="34"/>
  <c r="A1311" i="34"/>
  <c r="Q1311" i="34"/>
  <c r="A10" i="68"/>
  <c r="O1383" i="34"/>
  <c r="P1383" i="34"/>
  <c r="U1383" i="34"/>
  <c r="Y1383" i="34"/>
  <c r="Q1383" i="34"/>
  <c r="O1355" i="34"/>
  <c r="P1355" i="34"/>
  <c r="U1355" i="34"/>
  <c r="Y1355" i="34"/>
  <c r="Q1355" i="34"/>
  <c r="Q1350" i="34"/>
  <c r="A1350" i="34"/>
  <c r="O1350" i="34"/>
  <c r="P1350" i="34"/>
  <c r="U1350" i="34"/>
  <c r="Y1350" i="34"/>
  <c r="O1347" i="34"/>
  <c r="P1347" i="34"/>
  <c r="U1347" i="34"/>
  <c r="Y1347" i="34"/>
  <c r="Q1347" i="34"/>
  <c r="O1339" i="34"/>
  <c r="P1339" i="34"/>
  <c r="U1339" i="34"/>
  <c r="Y1339" i="34"/>
  <c r="A1339" i="34"/>
  <c r="Q1339" i="34"/>
  <c r="Q1334" i="34"/>
  <c r="A1334" i="34"/>
  <c r="O1334" i="34"/>
  <c r="P1334" i="34"/>
  <c r="U1334" i="34"/>
  <c r="Y1334" i="34"/>
  <c r="O1331" i="34"/>
  <c r="P1331" i="34"/>
  <c r="U1331" i="34"/>
  <c r="Y1331" i="34"/>
  <c r="A1331" i="34"/>
  <c r="Q1331" i="34"/>
  <c r="O1323" i="34"/>
  <c r="P1323" i="34"/>
  <c r="U1323" i="34"/>
  <c r="Y1323" i="34"/>
  <c r="A1323" i="34"/>
  <c r="Q1323" i="34"/>
  <c r="P1313" i="34"/>
  <c r="U1313" i="34"/>
  <c r="Y1313" i="34"/>
  <c r="Q1313" i="34"/>
  <c r="O1313" i="34"/>
  <c r="A1313" i="34"/>
  <c r="Q1310" i="34"/>
  <c r="A1310" i="34"/>
  <c r="O1310" i="34"/>
  <c r="P1310" i="34"/>
  <c r="U1310" i="34"/>
  <c r="Y1310" i="34"/>
  <c r="O1307" i="34"/>
  <c r="P1307" i="34"/>
  <c r="U1307" i="34"/>
  <c r="Y1307" i="34"/>
  <c r="A1307" i="34"/>
  <c r="Q1307" i="34"/>
  <c r="O1387" i="34"/>
  <c r="P1387" i="34"/>
  <c r="U1387" i="34"/>
  <c r="Y1387" i="34"/>
  <c r="Q1387" i="34"/>
  <c r="Q1382" i="34"/>
  <c r="A1382" i="34"/>
  <c r="O1382" i="34"/>
  <c r="P1382" i="34"/>
  <c r="U1382" i="34"/>
  <c r="Y1382" i="34"/>
  <c r="O1379" i="34"/>
  <c r="P1379" i="34"/>
  <c r="U1379" i="34"/>
  <c r="Y1379" i="34"/>
  <c r="Q1379" i="34"/>
  <c r="O1371" i="34"/>
  <c r="P1371" i="34"/>
  <c r="U1371" i="34"/>
  <c r="Y1371" i="34"/>
  <c r="Q1371" i="34"/>
  <c r="O1367" i="34"/>
  <c r="P1367" i="34"/>
  <c r="U1367" i="34"/>
  <c r="Y1367" i="34"/>
  <c r="Q1367" i="34"/>
  <c r="O1363" i="34"/>
  <c r="P1363" i="34"/>
  <c r="U1363" i="34"/>
  <c r="Y1363" i="34"/>
  <c r="Q1363" i="34"/>
  <c r="O1359" i="34"/>
  <c r="P1359" i="34"/>
  <c r="U1359" i="34"/>
  <c r="Y1359" i="34"/>
  <c r="Q1359" i="34"/>
  <c r="P1357" i="34"/>
  <c r="U1357" i="34"/>
  <c r="Y1357" i="34"/>
  <c r="Q1357" i="34"/>
  <c r="O1357" i="34"/>
  <c r="A1357" i="34"/>
  <c r="Q1354" i="34"/>
  <c r="A1354" i="34"/>
  <c r="O1354" i="34"/>
  <c r="P1354" i="34"/>
  <c r="U1354" i="34"/>
  <c r="Y1354" i="34"/>
  <c r="P1349" i="34"/>
  <c r="U1349" i="34"/>
  <c r="Y1349" i="34"/>
  <c r="Q1349" i="34"/>
  <c r="O1349" i="34"/>
  <c r="A1349" i="34"/>
  <c r="Q1346" i="34"/>
  <c r="A1346" i="34"/>
  <c r="O1346" i="34"/>
  <c r="P1346" i="34"/>
  <c r="U1346" i="34"/>
  <c r="Y1346" i="34"/>
  <c r="O1343" i="34"/>
  <c r="P1343" i="34"/>
  <c r="U1343" i="34"/>
  <c r="Y1343" i="34"/>
  <c r="Q1343" i="34"/>
  <c r="Q1338" i="34"/>
  <c r="A1338" i="34"/>
  <c r="O1338" i="34"/>
  <c r="P1338" i="34"/>
  <c r="U1338" i="34"/>
  <c r="Y1338" i="34"/>
  <c r="P1333" i="34"/>
  <c r="U1333" i="34"/>
  <c r="Y1333" i="34"/>
  <c r="Q1333" i="34"/>
  <c r="O1333" i="34"/>
  <c r="A1333" i="34"/>
  <c r="Q1330" i="34"/>
  <c r="A1330" i="34"/>
  <c r="O1330" i="34"/>
  <c r="P1330" i="34"/>
  <c r="U1330" i="34"/>
  <c r="Y1330" i="34"/>
  <c r="O1327" i="34"/>
  <c r="P1327" i="34"/>
  <c r="U1327" i="34"/>
  <c r="Y1327" i="34"/>
  <c r="A1327" i="34"/>
  <c r="Q1327" i="34"/>
  <c r="P1325" i="34"/>
  <c r="U1325" i="34"/>
  <c r="Y1325" i="34"/>
  <c r="Q1325" i="34"/>
  <c r="O1325" i="34"/>
  <c r="A1325" i="34"/>
  <c r="Q1322" i="34"/>
  <c r="A1322" i="34"/>
  <c r="O1322" i="34"/>
  <c r="P1322" i="34"/>
  <c r="U1322" i="34"/>
  <c r="Y1322" i="34"/>
  <c r="O1319" i="34"/>
  <c r="P1319" i="34"/>
  <c r="U1319" i="34"/>
  <c r="Y1319" i="34"/>
  <c r="A1319" i="34"/>
  <c r="Q1319" i="34"/>
  <c r="P1309" i="34"/>
  <c r="U1309" i="34"/>
  <c r="Y1309" i="34"/>
  <c r="Q1309" i="34"/>
  <c r="O1309" i="34"/>
  <c r="A1309" i="34"/>
  <c r="Q1306" i="34"/>
  <c r="A1306" i="34"/>
  <c r="O1306" i="34"/>
  <c r="P1306" i="34"/>
  <c r="U1306" i="34"/>
  <c r="Y1306" i="34"/>
  <c r="V390" i="34"/>
  <c r="O43" i="34"/>
  <c r="R43" i="34"/>
  <c r="R45" i="34"/>
  <c r="O45" i="34"/>
  <c r="O44" i="34"/>
  <c r="R44" i="34"/>
  <c r="R41" i="34"/>
  <c r="G94" i="43" s="1"/>
  <c r="O41" i="34"/>
  <c r="J186" i="55"/>
  <c r="G13" i="61"/>
  <c r="G14" i="61" s="1"/>
  <c r="I13" i="61"/>
  <c r="I14" i="61" s="1"/>
  <c r="E13" i="61"/>
  <c r="E14" i="61" s="1"/>
  <c r="B12" i="61"/>
  <c r="B14" i="61" s="1"/>
  <c r="C13" i="61"/>
  <c r="C14" i="61" s="1"/>
  <c r="D13" i="61"/>
  <c r="D14" i="61" s="1"/>
  <c r="G2" i="71"/>
  <c r="E67" i="71" l="1"/>
  <c r="H14" i="14"/>
  <c r="H15" i="14" s="1"/>
  <c r="K218" i="60"/>
  <c r="K232" i="60"/>
  <c r="K158" i="60"/>
  <c r="K249" i="60"/>
  <c r="K135" i="60"/>
  <c r="K224" i="60"/>
  <c r="K243" i="60"/>
  <c r="K143" i="60"/>
  <c r="K162" i="60"/>
  <c r="K217" i="60"/>
  <c r="K231" i="60"/>
  <c r="K244" i="60"/>
  <c r="K163" i="60"/>
  <c r="K186" i="60"/>
  <c r="K180" i="60"/>
  <c r="K148" i="60"/>
  <c r="K256" i="60"/>
  <c r="K221" i="60"/>
  <c r="K208" i="60"/>
  <c r="K225" i="60"/>
  <c r="K146" i="60"/>
  <c r="K197" i="60"/>
  <c r="K136" i="60"/>
  <c r="K182" i="60"/>
  <c r="K253" i="60"/>
  <c r="K178" i="60"/>
  <c r="K152" i="60"/>
  <c r="K179" i="60"/>
  <c r="K264" i="60"/>
  <c r="K265" i="60"/>
  <c r="K239" i="60"/>
  <c r="K192" i="60"/>
  <c r="K190" i="60"/>
  <c r="K201" i="60"/>
  <c r="K159" i="60"/>
  <c r="K199" i="60"/>
  <c r="K166" i="60"/>
  <c r="K195" i="60"/>
  <c r="K220" i="60"/>
  <c r="K176" i="60"/>
  <c r="K210" i="60"/>
  <c r="K213" i="60"/>
  <c r="K154" i="60"/>
  <c r="K254" i="60"/>
  <c r="K164" i="60"/>
  <c r="K198" i="60"/>
  <c r="K171" i="60"/>
  <c r="K209" i="60"/>
  <c r="K262" i="60"/>
  <c r="K212" i="60"/>
  <c r="K151" i="60"/>
  <c r="K184" i="60"/>
  <c r="K271" i="60"/>
  <c r="K206" i="60"/>
  <c r="K269" i="60"/>
  <c r="K140" i="60"/>
  <c r="K147" i="60"/>
  <c r="K194" i="60"/>
  <c r="K188" i="60"/>
  <c r="K235" i="60"/>
  <c r="K252" i="60"/>
  <c r="K250" i="60"/>
  <c r="K168" i="60"/>
  <c r="K191" i="60"/>
  <c r="K177" i="60"/>
  <c r="K205" i="60"/>
  <c r="K227" i="60"/>
  <c r="K237" i="60"/>
  <c r="K261" i="60"/>
  <c r="K138" i="60"/>
  <c r="K196" i="60"/>
  <c r="K139" i="60"/>
  <c r="K214" i="60"/>
  <c r="K172" i="60"/>
  <c r="K150" i="60"/>
  <c r="K187" i="60"/>
  <c r="K234" i="60"/>
  <c r="K240" i="60"/>
  <c r="K183" i="60"/>
  <c r="K228" i="60"/>
  <c r="K233" i="60"/>
  <c r="K268" i="60"/>
  <c r="K204" i="60"/>
  <c r="K174" i="60"/>
  <c r="K257" i="60"/>
  <c r="K144" i="60"/>
  <c r="K167" i="60"/>
  <c r="K207" i="60"/>
  <c r="K160" i="60"/>
  <c r="K260" i="60"/>
  <c r="K193" i="60"/>
  <c r="K156" i="60"/>
  <c r="K203" i="60"/>
  <c r="K155" i="60"/>
  <c r="K223" i="60"/>
  <c r="K248" i="60"/>
  <c r="K245" i="60"/>
  <c r="K134" i="60"/>
  <c r="K266" i="60"/>
  <c r="K258" i="60"/>
  <c r="K222" i="60"/>
  <c r="K175" i="60"/>
  <c r="K202" i="60"/>
  <c r="K229" i="60"/>
  <c r="K251" i="60"/>
  <c r="K216" i="60"/>
  <c r="K170" i="60"/>
  <c r="K145" i="60"/>
  <c r="K236" i="60"/>
  <c r="K255" i="60"/>
  <c r="K241" i="60"/>
  <c r="K211" i="60"/>
  <c r="K142" i="60"/>
  <c r="K189" i="60"/>
  <c r="K270" i="60"/>
  <c r="K169" i="60"/>
  <c r="K149" i="60"/>
  <c r="K230" i="60"/>
  <c r="K242" i="60"/>
  <c r="K267" i="60"/>
  <c r="K141" i="60"/>
  <c r="K247" i="60"/>
  <c r="K181" i="60"/>
  <c r="K137" i="60"/>
  <c r="K263" i="60"/>
  <c r="K215" i="60"/>
  <c r="K185" i="60"/>
  <c r="K161" i="60"/>
  <c r="K153" i="60"/>
  <c r="K238" i="60"/>
  <c r="K246" i="60"/>
  <c r="K219" i="60"/>
  <c r="K165" i="60"/>
  <c r="K259" i="60"/>
  <c r="K157" i="60"/>
  <c r="K200" i="60"/>
  <c r="K226" i="60"/>
  <c r="K173" i="60"/>
  <c r="C12" i="39"/>
  <c r="H5" i="39"/>
  <c r="M16" i="39" s="1"/>
  <c r="K178" i="55"/>
  <c r="I46" i="14"/>
  <c r="H46" i="14"/>
  <c r="F23" i="43"/>
  <c r="E60" i="47"/>
  <c r="D51" i="47"/>
  <c r="C42" i="47"/>
  <c r="B54" i="47"/>
  <c r="A45" i="47"/>
  <c r="D57" i="47"/>
  <c r="C48" i="47"/>
  <c r="B39" i="47"/>
  <c r="B52" i="47"/>
  <c r="A43" i="47"/>
  <c r="D55" i="47"/>
  <c r="C46" i="47"/>
  <c r="B58" i="47"/>
  <c r="A49" i="47"/>
  <c r="G39" i="47"/>
  <c r="C52" i="47"/>
  <c r="B43" i="47"/>
  <c r="B56" i="47"/>
  <c r="A47" i="47"/>
  <c r="G60" i="47"/>
  <c r="E52" i="47"/>
  <c r="D43" i="47"/>
  <c r="C55" i="47"/>
  <c r="B46" i="47"/>
  <c r="E58" i="47"/>
  <c r="D49" i="47"/>
  <c r="C40" i="47"/>
  <c r="C53" i="47"/>
  <c r="B44" i="47"/>
  <c r="G58" i="47"/>
  <c r="F49" i="47"/>
  <c r="E40" i="47"/>
  <c r="D52" i="47"/>
  <c r="C43" i="47"/>
  <c r="F55" i="47"/>
  <c r="E46" i="47"/>
  <c r="E59" i="47"/>
  <c r="D50" i="47"/>
  <c r="C41" i="47"/>
  <c r="F32" i="47"/>
  <c r="A32" i="47"/>
  <c r="C31" i="47"/>
  <c r="F31" i="47"/>
  <c r="B32" i="47"/>
  <c r="D31" i="47"/>
  <c r="F30" i="47"/>
  <c r="B31" i="47"/>
  <c r="E31" i="47"/>
  <c r="G30" i="47"/>
  <c r="B30" i="47"/>
  <c r="E30" i="47"/>
  <c r="A31" i="47"/>
  <c r="C30" i="47"/>
  <c r="G38" i="47"/>
  <c r="A21" i="47"/>
  <c r="C23" i="47"/>
  <c r="E25" i="47"/>
  <c r="C28" i="47"/>
  <c r="E29" i="47"/>
  <c r="G22" i="47"/>
  <c r="B25" i="47"/>
  <c r="A27" i="47"/>
  <c r="C21" i="47"/>
  <c r="E23" i="47"/>
  <c r="G25" i="47"/>
  <c r="F27" i="47"/>
  <c r="A22" i="47"/>
  <c r="C24" i="47"/>
  <c r="C27" i="47"/>
  <c r="B29" i="47"/>
  <c r="G18" i="47"/>
  <c r="F17" i="47"/>
  <c r="D18" i="47"/>
  <c r="E15" i="47"/>
  <c r="D19" i="47"/>
  <c r="F19" i="47"/>
  <c r="B17" i="47"/>
  <c r="C17" i="47"/>
  <c r="A16" i="47"/>
  <c r="A18" i="47"/>
  <c r="F15" i="47"/>
  <c r="G37" i="47"/>
  <c r="G23" i="47"/>
  <c r="B21" i="47"/>
  <c r="E27" i="47"/>
  <c r="C26" i="47"/>
  <c r="G24" i="47"/>
  <c r="B18" i="47"/>
  <c r="C15" i="47"/>
  <c r="C19" i="47"/>
  <c r="A56" i="47"/>
  <c r="G46" i="47"/>
  <c r="F58" i="47"/>
  <c r="E49" i="47"/>
  <c r="D40" i="47"/>
  <c r="G52" i="47"/>
  <c r="F43" i="47"/>
  <c r="F56" i="47"/>
  <c r="E47" i="47"/>
  <c r="A60" i="47"/>
  <c r="G50" i="47"/>
  <c r="F41" i="47"/>
  <c r="E53" i="47"/>
  <c r="D44" i="47"/>
  <c r="F47" i="47"/>
  <c r="D42" i="47"/>
  <c r="G59" i="47"/>
  <c r="A54" i="47"/>
  <c r="E39" i="47"/>
  <c r="A57" i="47"/>
  <c r="B51" i="47"/>
  <c r="G45" i="47"/>
  <c r="G35" i="47"/>
  <c r="A36" i="47"/>
  <c r="B36" i="47"/>
  <c r="E35" i="47"/>
  <c r="E34" i="47"/>
  <c r="E26" i="47"/>
  <c r="A24" i="47"/>
  <c r="D22" i="47"/>
  <c r="E28" i="47"/>
  <c r="B28" i="47"/>
  <c r="B20" i="47"/>
  <c r="G17" i="47"/>
  <c r="G19" i="47"/>
  <c r="A15" i="47"/>
  <c r="C58" i="47"/>
  <c r="B49" i="47"/>
  <c r="A40" i="47"/>
  <c r="G51" i="47"/>
  <c r="F42" i="47"/>
  <c r="B55" i="47"/>
  <c r="A46" i="47"/>
  <c r="A59" i="47"/>
  <c r="G49" i="47"/>
  <c r="F40" i="47"/>
  <c r="B53" i="47"/>
  <c r="A44" i="47"/>
  <c r="G55" i="47"/>
  <c r="F46" i="47"/>
  <c r="B59" i="47"/>
  <c r="A50" i="47"/>
  <c r="G40" i="47"/>
  <c r="G53" i="47"/>
  <c r="F44" i="47"/>
  <c r="D59" i="47"/>
  <c r="C50" i="47"/>
  <c r="B41" i="47"/>
  <c r="A53" i="47"/>
  <c r="G43" i="47"/>
  <c r="C56" i="47"/>
  <c r="B47" i="47"/>
  <c r="B60" i="47"/>
  <c r="A51" i="47"/>
  <c r="G41" i="47"/>
  <c r="E56" i="47"/>
  <c r="D47" i="47"/>
  <c r="C59" i="47"/>
  <c r="B50" i="47"/>
  <c r="A41" i="47"/>
  <c r="D53" i="47"/>
  <c r="C44" i="47"/>
  <c r="C57" i="47"/>
  <c r="B48" i="47"/>
  <c r="A39" i="47"/>
  <c r="D30" i="47"/>
  <c r="F38" i="47"/>
  <c r="E38" i="47"/>
  <c r="B38" i="47"/>
  <c r="C38" i="47"/>
  <c r="E37" i="47"/>
  <c r="A38" i="47"/>
  <c r="D38" i="47"/>
  <c r="F37" i="47"/>
  <c r="A37" i="47"/>
  <c r="D37" i="47"/>
  <c r="B37" i="47"/>
  <c r="D36" i="47"/>
  <c r="G36" i="47"/>
  <c r="E21" i="47"/>
  <c r="A26" i="47"/>
  <c r="G28" i="47"/>
  <c r="D23" i="47"/>
  <c r="F25" i="47"/>
  <c r="G21" i="47"/>
  <c r="B24" i="47"/>
  <c r="A28" i="47"/>
  <c r="E22" i="47"/>
  <c r="G27" i="47"/>
  <c r="F29" i="47"/>
  <c r="F16" i="47"/>
  <c r="E16" i="47"/>
  <c r="D17" i="47"/>
  <c r="A19" i="47"/>
  <c r="A17" i="47"/>
  <c r="D20" i="47"/>
  <c r="C16" i="47"/>
  <c r="G56" i="47"/>
  <c r="C60" i="47"/>
  <c r="E51" i="47"/>
  <c r="B57" i="47"/>
  <c r="A48" i="47"/>
  <c r="F50" i="47"/>
  <c r="E41" i="47"/>
  <c r="G44" i="47"/>
  <c r="G57" i="47"/>
  <c r="F48" i="47"/>
  <c r="C54" i="47"/>
  <c r="B45" i="47"/>
  <c r="G47" i="47"/>
  <c r="D60" i="47"/>
  <c r="A42" i="47"/>
  <c r="A55" i="47"/>
  <c r="C37" i="47"/>
  <c r="E36" i="47"/>
  <c r="C36" i="47"/>
  <c r="F36" i="47"/>
  <c r="C35" i="47"/>
  <c r="F35" i="47"/>
  <c r="D35" i="47"/>
  <c r="F34" i="47"/>
  <c r="B35" i="47"/>
  <c r="G34" i="47"/>
  <c r="B34" i="47"/>
  <c r="B22" i="47"/>
  <c r="D24" i="47"/>
  <c r="C29" i="47"/>
  <c r="F21" i="47"/>
  <c r="B26" i="47"/>
  <c r="D28" i="47"/>
  <c r="F24" i="47"/>
  <c r="G26" i="47"/>
  <c r="B23" i="47"/>
  <c r="D25" i="47"/>
  <c r="D29" i="47"/>
  <c r="F20" i="47"/>
  <c r="E18" i="47"/>
  <c r="F18" i="47"/>
  <c r="B15" i="47"/>
  <c r="B16" i="47"/>
  <c r="E20" i="47"/>
  <c r="B19" i="47"/>
  <c r="D56" i="47"/>
  <c r="C47" i="47"/>
  <c r="E50" i="47"/>
  <c r="D54" i="47"/>
  <c r="C45" i="47"/>
  <c r="E48" i="47"/>
  <c r="D39" i="47"/>
  <c r="C51" i="47"/>
  <c r="E54" i="47"/>
  <c r="D45" i="47"/>
  <c r="C49" i="47"/>
  <c r="B40" i="47"/>
  <c r="F45" i="47"/>
  <c r="E57" i="47"/>
  <c r="C39" i="47"/>
  <c r="F51" i="47"/>
  <c r="E55" i="47"/>
  <c r="D46" i="47"/>
  <c r="A52" i="47"/>
  <c r="G42" i="47"/>
  <c r="E45" i="47"/>
  <c r="A58" i="47"/>
  <c r="F39" i="47"/>
  <c r="F52" i="47"/>
  <c r="A35" i="47"/>
  <c r="C34" i="47"/>
  <c r="A34" i="47"/>
  <c r="D34" i="47"/>
  <c r="A33" i="47"/>
  <c r="D33" i="47"/>
  <c r="B33" i="47"/>
  <c r="D32" i="47"/>
  <c r="G32" i="47"/>
  <c r="E32" i="47"/>
  <c r="G31" i="47"/>
  <c r="F22" i="47"/>
  <c r="A25" i="47"/>
  <c r="G29" i="47"/>
  <c r="C22" i="47"/>
  <c r="F26" i="47"/>
  <c r="A29" i="47"/>
  <c r="C25" i="47"/>
  <c r="B27" i="47"/>
  <c r="F23" i="47"/>
  <c r="D26" i="47"/>
  <c r="G15" i="47"/>
  <c r="C20" i="47"/>
  <c r="D16" i="47"/>
  <c r="E19" i="47"/>
  <c r="A20" i="47"/>
  <c r="C18" i="47"/>
  <c r="A30" i="47"/>
  <c r="F53" i="47"/>
  <c r="E44" i="47"/>
  <c r="F59" i="47"/>
  <c r="D41" i="47"/>
  <c r="F57" i="47"/>
  <c r="B42" i="47"/>
  <c r="D58" i="47"/>
  <c r="G54" i="47"/>
  <c r="D48" i="47"/>
  <c r="E42" i="47"/>
  <c r="F60" i="47"/>
  <c r="F54" i="47"/>
  <c r="G48" i="47"/>
  <c r="E43" i="47"/>
  <c r="E33" i="47"/>
  <c r="F33" i="47"/>
  <c r="G33" i="47"/>
  <c r="C33" i="47"/>
  <c r="C32" i="47"/>
  <c r="D27" i="47"/>
  <c r="E24" i="47"/>
  <c r="A23" i="47"/>
  <c r="D21" i="47"/>
  <c r="F28" i="47"/>
  <c r="D15" i="47"/>
  <c r="E17" i="47"/>
  <c r="G16" i="47"/>
  <c r="G20" i="47"/>
  <c r="C10" i="39"/>
  <c r="K97" i="55"/>
  <c r="K74" i="55"/>
  <c r="K124" i="55"/>
  <c r="K140" i="55"/>
  <c r="K45" i="55"/>
  <c r="K116" i="55"/>
  <c r="I43" i="14"/>
  <c r="H43" i="14"/>
  <c r="I14" i="55"/>
  <c r="F21" i="43"/>
  <c r="A28" i="55"/>
  <c r="B29" i="55"/>
  <c r="K43" i="55"/>
  <c r="K25" i="55"/>
  <c r="G182" i="55"/>
  <c r="K164" i="55"/>
  <c r="K166" i="55"/>
  <c r="K165" i="55"/>
  <c r="I42" i="14"/>
  <c r="H42" i="14"/>
  <c r="C15" i="39"/>
  <c r="I126" i="60"/>
  <c r="R33" i="60" s="1"/>
  <c r="M9" i="39"/>
  <c r="I15" i="14"/>
  <c r="H16" i="14" s="1"/>
  <c r="K162" i="55"/>
  <c r="I182" i="55"/>
  <c r="K163" i="55"/>
  <c r="K110" i="55"/>
  <c r="A18" i="55"/>
  <c r="B19" i="55"/>
  <c r="E56" i="14"/>
  <c r="G2" i="14"/>
  <c r="A55" i="14"/>
  <c r="F19" i="43"/>
  <c r="F94" i="43"/>
  <c r="E15" i="58"/>
  <c r="E20" i="58"/>
  <c r="E24" i="58"/>
  <c r="E27" i="58"/>
  <c r="E30" i="58"/>
  <c r="I30" i="58" s="1"/>
  <c r="C29" i="58"/>
  <c r="C25" i="58"/>
  <c r="C21" i="58"/>
  <c r="C17" i="58"/>
  <c r="G29" i="58"/>
  <c r="G27" i="58"/>
  <c r="G25" i="58"/>
  <c r="G23" i="58"/>
  <c r="G21" i="58"/>
  <c r="G19" i="58"/>
  <c r="G17" i="58"/>
  <c r="G15" i="58"/>
  <c r="H30" i="58"/>
  <c r="H26" i="58"/>
  <c r="H22" i="58"/>
  <c r="H18" i="58"/>
  <c r="H14" i="58"/>
  <c r="D29" i="58"/>
  <c r="G26" i="58"/>
  <c r="B24" i="58"/>
  <c r="F24" i="58" s="1"/>
  <c r="D21" i="58"/>
  <c r="G18" i="58"/>
  <c r="G16" i="58"/>
  <c r="G14" i="58"/>
  <c r="E16" i="58"/>
  <c r="E22" i="58"/>
  <c r="E14" i="58"/>
  <c r="E18" i="58"/>
  <c r="H27" i="58"/>
  <c r="C23" i="58"/>
  <c r="H17" i="58"/>
  <c r="B29" i="58"/>
  <c r="D24" i="58"/>
  <c r="B21" i="58"/>
  <c r="F21" i="58" s="1"/>
  <c r="D16" i="58"/>
  <c r="C30" i="58"/>
  <c r="H24" i="58"/>
  <c r="C20" i="58"/>
  <c r="C14" i="58"/>
  <c r="B28" i="58"/>
  <c r="G24" i="58"/>
  <c r="G20" i="58"/>
  <c r="D15" i="58"/>
  <c r="E17" i="58"/>
  <c r="E23" i="58"/>
  <c r="E28" i="58"/>
  <c r="I28" i="58" s="1"/>
  <c r="C27" i="58"/>
  <c r="H21" i="58"/>
  <c r="H15" i="58"/>
  <c r="D26" i="58"/>
  <c r="B23" i="58"/>
  <c r="F23" i="58" s="1"/>
  <c r="D18" i="58"/>
  <c r="B15" i="58"/>
  <c r="H28" i="58"/>
  <c r="C24" i="58"/>
  <c r="C18" i="58"/>
  <c r="G30" i="58"/>
  <c r="D27" i="58"/>
  <c r="D23" i="58"/>
  <c r="B20" i="58"/>
  <c r="F20" i="58" s="1"/>
  <c r="D17" i="58"/>
  <c r="B14" i="58"/>
  <c r="E19" i="58"/>
  <c r="E25" i="58"/>
  <c r="H25" i="58"/>
  <c r="H19" i="58"/>
  <c r="C15" i="58"/>
  <c r="D28" i="58"/>
  <c r="B25" i="58"/>
  <c r="F25" i="58" s="1"/>
  <c r="D20" i="58"/>
  <c r="B17" i="58"/>
  <c r="F17" i="58" s="1"/>
  <c r="C28" i="58"/>
  <c r="C22" i="58"/>
  <c r="H16" i="58"/>
  <c r="B30" i="58"/>
  <c r="B26" i="58"/>
  <c r="F26" i="58" s="1"/>
  <c r="G22" i="58"/>
  <c r="D19" i="58"/>
  <c r="B16" i="58"/>
  <c r="F16" i="58" s="1"/>
  <c r="E21" i="58"/>
  <c r="E26" i="58"/>
  <c r="E29" i="58"/>
  <c r="I29" i="58" s="1"/>
  <c r="H29" i="58"/>
  <c r="H23" i="58"/>
  <c r="C19" i="58"/>
  <c r="D30" i="58"/>
  <c r="B27" i="58"/>
  <c r="F27" i="58" s="1"/>
  <c r="D22" i="58"/>
  <c r="B19" i="58"/>
  <c r="D14" i="58"/>
  <c r="C26" i="58"/>
  <c r="H20" i="58"/>
  <c r="C16" i="58"/>
  <c r="G28" i="58"/>
  <c r="D25" i="58"/>
  <c r="B22" i="58"/>
  <c r="F22" i="58" s="1"/>
  <c r="B18" i="58"/>
  <c r="F18" i="58" s="1"/>
  <c r="H45" i="14"/>
  <c r="I45" i="14"/>
  <c r="H37" i="14"/>
  <c r="I37" i="14"/>
  <c r="H33" i="14"/>
  <c r="I33" i="14"/>
  <c r="I57" i="71"/>
  <c r="H57" i="71"/>
  <c r="F20" i="43"/>
  <c r="F22" i="43"/>
  <c r="F39" i="73"/>
  <c r="H39" i="14"/>
  <c r="I39" i="14"/>
  <c r="E94" i="43"/>
  <c r="I44" i="14"/>
  <c r="H44" i="14"/>
  <c r="G24" i="56"/>
  <c r="G23" i="56"/>
  <c r="A30" i="56"/>
  <c r="B21" i="56"/>
  <c r="F22" i="56"/>
  <c r="H22" i="56" s="1"/>
  <c r="B19" i="56"/>
  <c r="F20" i="56"/>
  <c r="H20" i="56" s="1"/>
  <c r="G18" i="56"/>
  <c r="G17" i="56"/>
  <c r="G25" i="56"/>
  <c r="B17" i="56"/>
  <c r="B22" i="56"/>
  <c r="B23" i="56"/>
  <c r="B18" i="56"/>
  <c r="G8" i="56"/>
  <c r="G20" i="56"/>
  <c r="G19" i="56"/>
  <c r="B25" i="56"/>
  <c r="B24" i="56"/>
  <c r="F23" i="56"/>
  <c r="H23" i="56" s="1"/>
  <c r="F19" i="56"/>
  <c r="H19" i="56" s="1"/>
  <c r="A9" i="56"/>
  <c r="F18" i="56"/>
  <c r="G22" i="56"/>
  <c r="G21" i="56"/>
  <c r="F25" i="56"/>
  <c r="H25" i="56" s="1"/>
  <c r="F24" i="56"/>
  <c r="H24" i="56" s="1"/>
  <c r="G7" i="56"/>
  <c r="F21" i="56"/>
  <c r="H21" i="56" s="1"/>
  <c r="F17" i="56"/>
  <c r="D6" i="56"/>
  <c r="B20" i="56"/>
  <c r="G62" i="71"/>
  <c r="I35" i="14"/>
  <c r="H35" i="14"/>
  <c r="F51" i="14"/>
  <c r="H58" i="71"/>
  <c r="I58" i="71"/>
  <c r="D23" i="73"/>
  <c r="E23" i="73" s="1"/>
  <c r="F33" i="73"/>
  <c r="D29" i="73"/>
  <c r="E29" i="73" s="1"/>
  <c r="A39" i="73"/>
  <c r="H34" i="73"/>
  <c r="G36" i="73"/>
  <c r="D40" i="73"/>
  <c r="E40" i="73" s="1"/>
  <c r="G35" i="73"/>
  <c r="A23" i="73"/>
  <c r="B34" i="73"/>
  <c r="C43" i="73"/>
  <c r="A46" i="73"/>
  <c r="B48" i="73"/>
  <c r="F48" i="73"/>
  <c r="A41" i="73"/>
  <c r="G41" i="73"/>
  <c r="A45" i="73"/>
  <c r="D48" i="73"/>
  <c r="E48" i="73" s="1"/>
  <c r="A34" i="73"/>
  <c r="H20" i="73"/>
  <c r="G21" i="73"/>
  <c r="A22" i="73"/>
  <c r="D15" i="73"/>
  <c r="E15" i="73" s="1"/>
  <c r="G13" i="73"/>
  <c r="F12" i="73"/>
  <c r="I25" i="73"/>
  <c r="C17" i="73"/>
  <c r="C25" i="73"/>
  <c r="I12" i="73"/>
  <c r="F38" i="73"/>
  <c r="H40" i="73"/>
  <c r="G29" i="73"/>
  <c r="I39" i="73"/>
  <c r="F34" i="73"/>
  <c r="D37" i="73"/>
  <c r="E37" i="73" s="1"/>
  <c r="A29" i="73"/>
  <c r="G12" i="73"/>
  <c r="G30" i="73"/>
  <c r="D39" i="73"/>
  <c r="E39" i="73" s="1"/>
  <c r="I48" i="73"/>
  <c r="H48" i="73"/>
  <c r="G48" i="73"/>
  <c r="A48" i="73"/>
  <c r="A43" i="73"/>
  <c r="D47" i="73"/>
  <c r="E47" i="73" s="1"/>
  <c r="I49" i="73"/>
  <c r="F32" i="73"/>
  <c r="I33" i="73"/>
  <c r="I26" i="73"/>
  <c r="I27" i="73"/>
  <c r="C27" i="73"/>
  <c r="I34" i="73"/>
  <c r="C32" i="73"/>
  <c r="G14" i="73"/>
  <c r="A14" i="73"/>
  <c r="H55" i="73" s="1"/>
  <c r="H43" i="73"/>
  <c r="C47" i="73"/>
  <c r="B44" i="73"/>
  <c r="H29" i="73"/>
  <c r="H22" i="73"/>
  <c r="B30" i="73"/>
  <c r="A31" i="73"/>
  <c r="G25" i="73"/>
  <c r="B25" i="73"/>
  <c r="D11" i="73"/>
  <c r="E11" i="73" s="1"/>
  <c r="B13" i="73"/>
  <c r="I36" i="73"/>
  <c r="G26" i="57"/>
  <c r="B29" i="57"/>
  <c r="A29" i="57" s="1"/>
  <c r="C25" i="57"/>
  <c r="E27" i="57"/>
  <c r="G29" i="57"/>
  <c r="I25" i="57"/>
  <c r="C28" i="57"/>
  <c r="E30" i="57"/>
  <c r="C27" i="57"/>
  <c r="E29" i="57"/>
  <c r="D22" i="57"/>
  <c r="D16" i="57"/>
  <c r="D17" i="57"/>
  <c r="G14" i="57"/>
  <c r="E17" i="57"/>
  <c r="E19" i="57"/>
  <c r="E24" i="57"/>
  <c r="F25" i="57"/>
  <c r="E28" i="57"/>
  <c r="G25" i="57"/>
  <c r="F28" i="57"/>
  <c r="D25" i="57"/>
  <c r="G28" i="57"/>
  <c r="B26" i="57"/>
  <c r="A26" i="57" s="1"/>
  <c r="I28" i="57"/>
  <c r="D23" i="57"/>
  <c r="D14" i="57"/>
  <c r="E21" i="57"/>
  <c r="E14" i="57"/>
  <c r="B24" i="57"/>
  <c r="F20" i="57"/>
  <c r="C22" i="57"/>
  <c r="I24" i="57"/>
  <c r="B22" i="57"/>
  <c r="F23" i="57"/>
  <c r="G17" i="57"/>
  <c r="I14" i="57"/>
  <c r="F17" i="57"/>
  <c r="G19" i="57"/>
  <c r="I16" i="57"/>
  <c r="B14" i="57"/>
  <c r="A14" i="57" s="1"/>
  <c r="I17" i="57"/>
  <c r="C26" i="57"/>
  <c r="F29" i="57"/>
  <c r="D26" i="57"/>
  <c r="C29" i="57"/>
  <c r="E26" i="57"/>
  <c r="D29" i="57"/>
  <c r="F26" i="57"/>
  <c r="B30" i="57"/>
  <c r="A30" i="57" s="1"/>
  <c r="D24" i="57"/>
  <c r="D18" i="57"/>
  <c r="G16" i="57"/>
  <c r="E18" i="57"/>
  <c r="E20" i="57"/>
  <c r="I22" i="57"/>
  <c r="B20" i="57"/>
  <c r="F21" i="57"/>
  <c r="G23" i="57"/>
  <c r="I20" i="57"/>
  <c r="B23" i="57"/>
  <c r="C17" i="57"/>
  <c r="C20" i="57"/>
  <c r="B17" i="57"/>
  <c r="C19" i="57"/>
  <c r="G15" i="57"/>
  <c r="G20" i="57"/>
  <c r="C16" i="57"/>
  <c r="D27" i="57"/>
  <c r="C30" i="57"/>
  <c r="I26" i="57"/>
  <c r="D30" i="57"/>
  <c r="B27" i="57"/>
  <c r="A27" i="57" s="1"/>
  <c r="I29" i="57"/>
  <c r="G27" i="57"/>
  <c r="F30" i="57"/>
  <c r="D19" i="57"/>
  <c r="D15" i="57"/>
  <c r="E22" i="57"/>
  <c r="E15" i="57"/>
  <c r="G21" i="57"/>
  <c r="I23" i="57"/>
  <c r="B21" i="57"/>
  <c r="C23" i="57"/>
  <c r="G24" i="57"/>
  <c r="I21" i="57"/>
  <c r="F16" i="57"/>
  <c r="G18" i="57"/>
  <c r="I15" i="57"/>
  <c r="F18" i="57"/>
  <c r="C15" i="57"/>
  <c r="F19" i="57"/>
  <c r="F15" i="57"/>
  <c r="B25" i="57"/>
  <c r="A25" i="57" s="1"/>
  <c r="I27" i="57"/>
  <c r="G30" i="57"/>
  <c r="B28" i="57"/>
  <c r="A28" i="57" s="1"/>
  <c r="I30" i="57"/>
  <c r="F27" i="57"/>
  <c r="E25" i="57"/>
  <c r="D28" i="57"/>
  <c r="D20" i="57"/>
  <c r="D21" i="57"/>
  <c r="E23" i="57"/>
  <c r="E16" i="57"/>
  <c r="F24" i="57"/>
  <c r="C21" i="57"/>
  <c r="G22" i="57"/>
  <c r="I19" i="57"/>
  <c r="F22" i="57"/>
  <c r="C24" i="57"/>
  <c r="I18" i="57"/>
  <c r="B16" i="57"/>
  <c r="C18" i="57"/>
  <c r="C14" i="57"/>
  <c r="B18" i="57"/>
  <c r="F14" i="57"/>
  <c r="B19" i="57"/>
  <c r="B15" i="57"/>
  <c r="H36" i="14"/>
  <c r="I36" i="14"/>
  <c r="I47" i="14"/>
  <c r="H47" i="14"/>
  <c r="I60" i="71"/>
  <c r="H60" i="71"/>
  <c r="I59" i="71"/>
  <c r="H59" i="71"/>
  <c r="D22" i="73"/>
  <c r="E22" i="73" s="1"/>
  <c r="A32" i="73"/>
  <c r="H35" i="73"/>
  <c r="F37" i="73"/>
  <c r="D33" i="73"/>
  <c r="E33" i="73" s="1"/>
  <c r="A36" i="73"/>
  <c r="A16" i="73"/>
  <c r="B27" i="73"/>
  <c r="I22" i="73"/>
  <c r="D49" i="73"/>
  <c r="E49" i="73" s="1"/>
  <c r="I41" i="73"/>
  <c r="A44" i="73"/>
  <c r="D46" i="73"/>
  <c r="E46" i="73" s="1"/>
  <c r="G46" i="73"/>
  <c r="F41" i="73"/>
  <c r="I44" i="73"/>
  <c r="C48" i="73"/>
  <c r="C18" i="73"/>
  <c r="C13" i="73"/>
  <c r="H23" i="73"/>
  <c r="G32" i="73"/>
  <c r="B16" i="73"/>
  <c r="F23" i="73"/>
  <c r="C23" i="73"/>
  <c r="C21" i="73"/>
  <c r="C35" i="73"/>
  <c r="G23" i="73"/>
  <c r="D19" i="73"/>
  <c r="E19" i="73" s="1"/>
  <c r="B37" i="73"/>
  <c r="C40" i="73"/>
  <c r="C28" i="73"/>
  <c r="C39" i="73"/>
  <c r="G17" i="73"/>
  <c r="D13" i="73"/>
  <c r="E13" i="73" s="1"/>
  <c r="A20" i="73"/>
  <c r="H11" i="73"/>
  <c r="D21" i="73"/>
  <c r="E21" i="73" s="1"/>
  <c r="H30" i="73"/>
  <c r="B46" i="73"/>
  <c r="I46" i="73"/>
  <c r="I45" i="73"/>
  <c r="H45" i="73"/>
  <c r="H46" i="73"/>
  <c r="C50" i="73"/>
  <c r="H18" i="73"/>
  <c r="H19" i="73"/>
  <c r="B20" i="73"/>
  <c r="B21" i="73"/>
  <c r="B11" i="73"/>
  <c r="C14" i="73"/>
  <c r="C20" i="73"/>
  <c r="A18" i="73"/>
  <c r="C24" i="73"/>
  <c r="F31" i="73"/>
  <c r="B47" i="73"/>
  <c r="F50" i="73"/>
  <c r="I47" i="73"/>
  <c r="D31" i="73"/>
  <c r="E31" i="73" s="1"/>
  <c r="D32" i="73"/>
  <c r="E32" i="73" s="1"/>
  <c r="A17" i="73"/>
  <c r="D18" i="73"/>
  <c r="E18" i="73" s="1"/>
  <c r="B35" i="73"/>
  <c r="G19" i="73"/>
  <c r="F16" i="73"/>
  <c r="G22" i="73"/>
  <c r="A30" i="73"/>
  <c r="I42" i="73"/>
  <c r="I13" i="42"/>
  <c r="K182" i="55"/>
  <c r="H174" i="55" a="1"/>
  <c r="H174" i="55" s="1"/>
  <c r="J177" i="55" a="1"/>
  <c r="J177" i="55" s="1"/>
  <c r="E14" i="12" a="1"/>
  <c r="E14" i="12" s="1"/>
  <c r="E41" i="70" a="1"/>
  <c r="E41" i="70" s="1"/>
  <c r="J51" i="55" a="1"/>
  <c r="J51" i="55" s="1"/>
  <c r="H56" i="55" a="1"/>
  <c r="H56" i="55" s="1"/>
  <c r="H147" i="55" a="1"/>
  <c r="H147" i="55" s="1"/>
  <c r="J172" i="55" a="1"/>
  <c r="J172" i="55" s="1"/>
  <c r="H79" i="55" a="1"/>
  <c r="H79" i="55" s="1"/>
  <c r="H75" i="55" a="1"/>
  <c r="H75" i="55" s="1"/>
  <c r="H113" i="55" a="1"/>
  <c r="H113" i="55" s="1"/>
  <c r="J103" i="55" a="1"/>
  <c r="J103" i="55" s="1"/>
  <c r="H49" i="55" a="1"/>
  <c r="H49" i="55" s="1"/>
  <c r="J128" i="55" a="1"/>
  <c r="J128" i="55" s="1"/>
  <c r="J33" i="55" a="1"/>
  <c r="J33" i="55" s="1"/>
  <c r="H86" i="55" a="1"/>
  <c r="H86" i="55" s="1"/>
  <c r="H64" i="55" a="1"/>
  <c r="H64" i="55" s="1"/>
  <c r="J25" i="55" a="1"/>
  <c r="J25" i="55" s="1"/>
  <c r="H163" i="55" a="1"/>
  <c r="H163" i="55" s="1"/>
  <c r="H173" i="55" a="1"/>
  <c r="H173" i="55" s="1"/>
  <c r="J112" i="55" a="1"/>
  <c r="J112" i="55" s="1"/>
  <c r="J131" i="55" a="1"/>
  <c r="J131" i="55" s="1"/>
  <c r="J56" i="55" a="1"/>
  <c r="J56" i="55" s="1"/>
  <c r="J65" i="55" a="1"/>
  <c r="J65" i="55" s="1"/>
  <c r="H34" i="55" a="1"/>
  <c r="H34" i="55" s="1"/>
  <c r="H124" i="55" a="1"/>
  <c r="H124" i="55" s="1"/>
  <c r="J85" i="55" a="1"/>
  <c r="J85" i="55" s="1"/>
  <c r="J88" i="55" a="1"/>
  <c r="J88" i="55" s="1"/>
  <c r="J161" i="55" a="1"/>
  <c r="J161" i="55" s="1"/>
  <c r="J151" i="55" a="1"/>
  <c r="J151" i="55" s="1"/>
  <c r="J132" i="55" a="1"/>
  <c r="J132" i="55" s="1"/>
  <c r="J71" i="55" a="1"/>
  <c r="J71" i="55" s="1"/>
  <c r="J54" i="55" a="1"/>
  <c r="J54" i="55" s="1"/>
  <c r="J138" i="55" a="1"/>
  <c r="J138" i="55" s="1"/>
  <c r="J74" i="55" a="1"/>
  <c r="J74" i="55" s="1"/>
  <c r="H102" i="55" a="1"/>
  <c r="H102" i="55" s="1"/>
  <c r="H142" i="55" a="1"/>
  <c r="H142" i="55" s="1"/>
  <c r="J165" i="55" a="1"/>
  <c r="J165" i="55" s="1"/>
  <c r="H165" i="55" a="1"/>
  <c r="H165" i="55" s="1"/>
  <c r="L165" i="55" s="1"/>
  <c r="H134" i="55" a="1"/>
  <c r="H134" i="55" s="1"/>
  <c r="L134" i="55" s="1"/>
  <c r="J62" i="55" a="1"/>
  <c r="J62" i="55" s="1"/>
  <c r="H155" i="55" a="1"/>
  <c r="H155" i="55" s="1"/>
  <c r="J146" i="55" a="1"/>
  <c r="J146" i="55" s="1"/>
  <c r="J87" i="55" a="1"/>
  <c r="J87" i="55" s="1"/>
  <c r="H53" i="55" a="1"/>
  <c r="H53" i="55" s="1"/>
  <c r="H109" i="55" a="1"/>
  <c r="H109" i="55" s="1"/>
  <c r="J80" i="55" a="1"/>
  <c r="J80" i="55" s="1"/>
  <c r="J123" i="55" a="1"/>
  <c r="J123" i="55" s="1"/>
  <c r="H167" i="55" a="1"/>
  <c r="H167" i="55" s="1"/>
  <c r="H88" i="55" a="1"/>
  <c r="H88" i="55" s="1"/>
  <c r="H110" i="55" a="1"/>
  <c r="H110" i="55" s="1"/>
  <c r="J26" i="55" a="1"/>
  <c r="J26" i="55" s="1"/>
  <c r="J127" i="55" a="1"/>
  <c r="J127" i="55" s="1"/>
  <c r="J39" i="55" a="1"/>
  <c r="J39" i="55" s="1"/>
  <c r="H74" i="55" a="1"/>
  <c r="H74" i="55" s="1"/>
  <c r="L74" i="55" s="1"/>
  <c r="J168" i="55" a="1"/>
  <c r="J168" i="55" s="1"/>
  <c r="J134" i="55" a="1"/>
  <c r="J134" i="55" s="1"/>
  <c r="H168" i="55" a="1"/>
  <c r="H168" i="55" s="1"/>
  <c r="J69" i="55" a="1"/>
  <c r="J69" i="55" s="1"/>
  <c r="J125" i="55" a="1"/>
  <c r="J125" i="55" s="1"/>
  <c r="H159" i="55" a="1"/>
  <c r="H159" i="55" s="1"/>
  <c r="J83" i="55" a="1"/>
  <c r="J83" i="55" s="1"/>
  <c r="J120" i="55" a="1"/>
  <c r="J120" i="55" s="1"/>
  <c r="H107" i="55" a="1"/>
  <c r="H107" i="55" s="1"/>
  <c r="J57" i="55" a="1"/>
  <c r="J57" i="55" s="1"/>
  <c r="H116" i="55" a="1"/>
  <c r="H116" i="55" s="1"/>
  <c r="H44" i="55" a="1"/>
  <c r="H44" i="55" s="1"/>
  <c r="H146" i="55" a="1"/>
  <c r="H146" i="55" s="1"/>
  <c r="L146" i="55" s="1"/>
  <c r="H55" i="55" a="1"/>
  <c r="H55" i="55" s="1"/>
  <c r="H118" i="55" a="1"/>
  <c r="H118" i="55" s="1"/>
  <c r="H77" i="55" a="1"/>
  <c r="H77" i="55" s="1"/>
  <c r="J93" i="55" a="1"/>
  <c r="J93" i="55" s="1"/>
  <c r="J27" i="55" a="1"/>
  <c r="J27" i="55" s="1"/>
  <c r="H45" i="55" a="1"/>
  <c r="H45" i="55" s="1"/>
  <c r="J104" i="55" a="1"/>
  <c r="J104" i="55" s="1"/>
  <c r="H35" i="55" a="1"/>
  <c r="H35" i="55" s="1"/>
  <c r="J43" i="55" a="1"/>
  <c r="J43" i="55" s="1"/>
  <c r="H169" i="55" a="1"/>
  <c r="H169" i="55" s="1"/>
  <c r="H59" i="55" a="1"/>
  <c r="H59" i="55" s="1"/>
  <c r="H153" i="55" a="1"/>
  <c r="H153" i="55" s="1"/>
  <c r="H112" i="55" a="1"/>
  <c r="H112" i="55" s="1"/>
  <c r="L112" i="55" s="1"/>
  <c r="H90" i="55" a="1"/>
  <c r="H90" i="55" s="1"/>
  <c r="J136" i="55" a="1"/>
  <c r="J136" i="55" s="1"/>
  <c r="J162" i="55" a="1"/>
  <c r="J162" i="55" s="1"/>
  <c r="J149" i="55" a="1"/>
  <c r="J149" i="55" s="1"/>
  <c r="H51" i="55" a="1"/>
  <c r="H51" i="55" s="1"/>
  <c r="L51" i="55" s="1"/>
  <c r="H128" i="55" a="1"/>
  <c r="H128" i="55" s="1"/>
  <c r="L128" i="55" s="1"/>
  <c r="H62" i="55" a="1"/>
  <c r="H62" i="55" s="1"/>
  <c r="L62" i="55" s="1"/>
  <c r="H130" i="55" a="1"/>
  <c r="H130" i="55" s="1"/>
  <c r="J96" i="55" a="1"/>
  <c r="J96" i="55" s="1"/>
  <c r="J171" i="55" a="1"/>
  <c r="J171" i="55" s="1"/>
  <c r="H68" i="55" a="1"/>
  <c r="H68" i="55" s="1"/>
  <c r="J47" i="55" a="1"/>
  <c r="J47" i="55" s="1"/>
  <c r="H47" i="55" a="1"/>
  <c r="H47" i="55" s="1"/>
  <c r="J67" i="55" a="1"/>
  <c r="J67" i="55" s="1"/>
  <c r="H166" i="55" a="1"/>
  <c r="H166" i="55" s="1"/>
  <c r="J143" i="55" a="1"/>
  <c r="J143" i="55" s="1"/>
  <c r="J142" i="55" a="1"/>
  <c r="J142" i="55" s="1"/>
  <c r="H154" i="55" a="1"/>
  <c r="H154" i="55" s="1"/>
  <c r="J66" i="55" a="1"/>
  <c r="J66" i="55" s="1"/>
  <c r="H172" i="55" a="1"/>
  <c r="H172" i="55" s="1"/>
  <c r="L172" i="55" s="1"/>
  <c r="J76" i="55" a="1"/>
  <c r="J76" i="55" s="1"/>
  <c r="J153" i="55" a="1"/>
  <c r="J153" i="55" s="1"/>
  <c r="J48" i="55" a="1"/>
  <c r="J48" i="55" s="1"/>
  <c r="J157" i="55" a="1"/>
  <c r="J157" i="55" s="1"/>
  <c r="J141" i="55" a="1"/>
  <c r="J141" i="55" s="1"/>
  <c r="J31" i="55" a="1"/>
  <c r="J31" i="55" s="1"/>
  <c r="J106" i="55" a="1"/>
  <c r="J106" i="55" s="1"/>
  <c r="F41" i="70" a="1"/>
  <c r="F41" i="70" s="1"/>
  <c r="H41" i="70" s="1"/>
  <c r="H148" i="55" a="1"/>
  <c r="H148" i="55" s="1"/>
  <c r="J148" i="55" a="1"/>
  <c r="J148" i="55" s="1"/>
  <c r="J174" i="55" a="1"/>
  <c r="J174" i="55" s="1"/>
  <c r="J180" i="55" a="1"/>
  <c r="J180" i="55" s="1"/>
  <c r="H177" i="55" a="1"/>
  <c r="H177" i="55" s="1"/>
  <c r="L177" i="55" s="1"/>
  <c r="H176" i="55" a="1"/>
  <c r="H176" i="55" s="1"/>
  <c r="H179" i="55" a="1"/>
  <c r="H179" i="55" s="1"/>
  <c r="H164" i="55" a="1"/>
  <c r="H164" i="55" s="1"/>
  <c r="J145" i="55" a="1"/>
  <c r="J145" i="55" s="1"/>
  <c r="J160" i="55" a="1"/>
  <c r="J160" i="55" s="1"/>
  <c r="J52" i="55" a="1"/>
  <c r="J52" i="55" s="1"/>
  <c r="J147" i="55" a="1"/>
  <c r="J147" i="55" s="1"/>
  <c r="J35" i="55" a="1"/>
  <c r="J35" i="55" s="1"/>
  <c r="H95" i="55" a="1"/>
  <c r="H95" i="55" s="1"/>
  <c r="H82" i="55" a="1"/>
  <c r="H82" i="55" s="1"/>
  <c r="J107" i="55" a="1"/>
  <c r="J107" i="55" s="1"/>
  <c r="H36" i="55" a="1"/>
  <c r="H36" i="55" s="1"/>
  <c r="J166" i="55" a="1"/>
  <c r="J166" i="55" s="1"/>
  <c r="H103" i="55" a="1"/>
  <c r="H103" i="55" s="1"/>
  <c r="L103" i="55" s="1"/>
  <c r="H26" i="55" a="1"/>
  <c r="H26" i="55" s="1"/>
  <c r="L26" i="55" s="1"/>
  <c r="J49" i="55" a="1"/>
  <c r="J49" i="55" s="1"/>
  <c r="J102" i="55" a="1"/>
  <c r="J102" i="55" s="1"/>
  <c r="J29" i="55" a="1"/>
  <c r="J29" i="55" s="1"/>
  <c r="J42" i="55" a="1"/>
  <c r="J42" i="55" s="1"/>
  <c r="H170" i="55" a="1"/>
  <c r="H170" i="55" s="1"/>
  <c r="H129" i="55" a="1"/>
  <c r="H129" i="55" s="1"/>
  <c r="H81" i="55" a="1"/>
  <c r="H81" i="55" s="1"/>
  <c r="J73" i="55" a="1"/>
  <c r="J73" i="55" s="1"/>
  <c r="J173" i="55" a="1"/>
  <c r="J173" i="55" s="1"/>
  <c r="H137" i="55" a="1"/>
  <c r="H137" i="55" s="1"/>
  <c r="J41" i="55" a="1"/>
  <c r="J41" i="55" s="1"/>
  <c r="H69" i="55" a="1"/>
  <c r="H69" i="55" s="1"/>
  <c r="L69" i="55" s="1"/>
  <c r="J63" i="55" a="1"/>
  <c r="J63" i="55" s="1"/>
  <c r="J100" i="55" a="1"/>
  <c r="J100" i="55" s="1"/>
  <c r="H140" i="55" a="1"/>
  <c r="H140" i="55" s="1"/>
  <c r="H37" i="55" a="1"/>
  <c r="H37" i="55" s="1"/>
  <c r="J114" i="55" a="1"/>
  <c r="J114" i="55" s="1"/>
  <c r="H114" i="55" a="1"/>
  <c r="H114" i="55" s="1"/>
  <c r="L114" i="55" s="1"/>
  <c r="J139" i="55" a="1"/>
  <c r="J139" i="55" s="1"/>
  <c r="H83" i="55" a="1"/>
  <c r="H83" i="55" s="1"/>
  <c r="L83" i="55" s="1"/>
  <c r="H60" i="55" a="1"/>
  <c r="H60" i="55" s="1"/>
  <c r="J170" i="55" a="1"/>
  <c r="J170" i="55" s="1"/>
  <c r="H119" i="55" a="1"/>
  <c r="H119" i="55" s="1"/>
  <c r="J150" i="55" a="1"/>
  <c r="J150" i="55" s="1"/>
  <c r="J79" i="55" a="1"/>
  <c r="J79" i="55" s="1"/>
  <c r="H101" i="55" a="1"/>
  <c r="H101" i="55" s="1"/>
  <c r="D13" i="39"/>
  <c r="H18" i="55" a="1"/>
  <c r="H18" i="55" s="1"/>
  <c r="H17" i="55" a="1"/>
  <c r="H17" i="55" s="1"/>
  <c r="H50" i="55" a="1"/>
  <c r="H50" i="55" s="1"/>
  <c r="E32" i="15" a="1"/>
  <c r="E32" i="15" s="1"/>
  <c r="E28" i="15" a="1"/>
  <c r="E28" i="15" s="1"/>
  <c r="E46" i="15" a="1"/>
  <c r="E46" i="15" s="1"/>
  <c r="F22" i="15" a="1"/>
  <c r="F22" i="15" s="1"/>
  <c r="F37" i="15" a="1"/>
  <c r="F37" i="15" s="1"/>
  <c r="H10" i="55" a="1"/>
  <c r="H10" i="55" s="1"/>
  <c r="E47" i="15" a="1"/>
  <c r="E47" i="15" s="1"/>
  <c r="F28" i="15" a="1"/>
  <c r="F28" i="15" s="1"/>
  <c r="F19" i="15" a="1"/>
  <c r="F19" i="15" s="1"/>
  <c r="E12" i="15" a="1"/>
  <c r="E12" i="15" s="1"/>
  <c r="F29" i="15" a="1"/>
  <c r="F29" i="15" s="1"/>
  <c r="E26" i="15" a="1"/>
  <c r="E26" i="15" s="1"/>
  <c r="E23" i="15" a="1"/>
  <c r="E23" i="15" s="1"/>
  <c r="E10" i="15" a="1"/>
  <c r="E10" i="15" s="1"/>
  <c r="E29" i="15" a="1"/>
  <c r="E29" i="15" s="1"/>
  <c r="G29" i="15" s="1"/>
  <c r="E17" i="15" a="1"/>
  <c r="E17" i="15" s="1"/>
  <c r="F10" i="12" a="1"/>
  <c r="F10" i="12" s="1"/>
  <c r="F7" i="12" a="1"/>
  <c r="F7" i="12" s="1"/>
  <c r="E39" i="15" a="1"/>
  <c r="E39" i="15" s="1"/>
  <c r="H9" i="55" a="1"/>
  <c r="H9" i="55" s="1"/>
  <c r="F31" i="15" a="1"/>
  <c r="F31" i="15" s="1"/>
  <c r="F32" i="15" a="1"/>
  <c r="F32" i="15" s="1"/>
  <c r="H21" i="55" a="1"/>
  <c r="H21" i="55" s="1"/>
  <c r="E42" i="15" a="1"/>
  <c r="E42" i="15" s="1"/>
  <c r="F35" i="15" a="1"/>
  <c r="F35" i="15" s="1"/>
  <c r="E34" i="70" a="1"/>
  <c r="E34" i="70" s="1"/>
  <c r="F32" i="70" a="1"/>
  <c r="F32" i="70" s="1"/>
  <c r="F36" i="70" a="1"/>
  <c r="F36" i="70" s="1"/>
  <c r="F35" i="70" a="1"/>
  <c r="F35" i="70" s="1"/>
  <c r="F33" i="70" a="1"/>
  <c r="F33" i="70" s="1"/>
  <c r="F37" i="70" a="1"/>
  <c r="F37" i="70" s="1"/>
  <c r="E12" i="12" a="1"/>
  <c r="E12" i="12" s="1"/>
  <c r="F11" i="12" a="1"/>
  <c r="F11" i="12" s="1"/>
  <c r="E13" i="12" a="1"/>
  <c r="E13" i="12" s="1"/>
  <c r="F13" i="12" a="1"/>
  <c r="F13" i="12" s="1"/>
  <c r="F31" i="70" a="1"/>
  <c r="F31" i="70" s="1"/>
  <c r="E30" i="70" a="1"/>
  <c r="E30" i="70" s="1"/>
  <c r="E29" i="70" a="1"/>
  <c r="E29" i="70" s="1"/>
  <c r="F28" i="70" a="1"/>
  <c r="F28" i="70" s="1"/>
  <c r="F18" i="70" a="1"/>
  <c r="F18" i="70" s="1"/>
  <c r="J12" i="55" a="1"/>
  <c r="J12" i="55" s="1"/>
  <c r="J17" i="55" a="1"/>
  <c r="J17" i="55" s="1"/>
  <c r="F48" i="15" a="1"/>
  <c r="F48" i="15" s="1"/>
  <c r="F46" i="15" a="1"/>
  <c r="F46" i="15" s="1"/>
  <c r="J99" i="55" a="1"/>
  <c r="J99" i="55" s="1"/>
  <c r="J97" i="55" a="1"/>
  <c r="J97" i="55" s="1"/>
  <c r="J64" i="55" a="1"/>
  <c r="J64" i="55" s="1"/>
  <c r="J44" i="55" a="1"/>
  <c r="J44" i="55" s="1"/>
  <c r="J135" i="55" a="1"/>
  <c r="J135" i="55" s="1"/>
  <c r="H38" i="55" a="1"/>
  <c r="H38" i="55" s="1"/>
  <c r="J45" i="55" a="1"/>
  <c r="J45" i="55" s="1"/>
  <c r="H89" i="55" a="1"/>
  <c r="H89" i="55" s="1"/>
  <c r="H108" i="55" a="1"/>
  <c r="H108" i="55" s="1"/>
  <c r="H43" i="55" a="1"/>
  <c r="H43" i="55" s="1"/>
  <c r="L43" i="55" s="1"/>
  <c r="J158" i="55" a="1"/>
  <c r="J158" i="55" s="1"/>
  <c r="J68" i="55" a="1"/>
  <c r="J68" i="55" s="1"/>
  <c r="H122" i="55" a="1"/>
  <c r="H122" i="55" s="1"/>
  <c r="H152" i="55" a="1"/>
  <c r="H152" i="55" s="1"/>
  <c r="J176" i="55" a="1"/>
  <c r="J176" i="55" s="1"/>
  <c r="J178" i="55" a="1"/>
  <c r="J178" i="55" s="1"/>
  <c r="F14" i="12" a="1"/>
  <c r="F14" i="12" s="1"/>
  <c r="H14" i="12" s="1"/>
  <c r="J72" i="55" a="1"/>
  <c r="J72" i="55" s="1"/>
  <c r="H65" i="55" a="1"/>
  <c r="H65" i="55" s="1"/>
  <c r="L65" i="55" s="1"/>
  <c r="H157" i="55" a="1"/>
  <c r="H157" i="55" s="1"/>
  <c r="L157" i="55" s="1"/>
  <c r="J75" i="55" a="1"/>
  <c r="J75" i="55" s="1"/>
  <c r="H97" i="55" a="1"/>
  <c r="H97" i="55" s="1"/>
  <c r="L97" i="55" s="1"/>
  <c r="J81" i="55" a="1"/>
  <c r="J81" i="55" s="1"/>
  <c r="H66" i="55" a="1"/>
  <c r="H66" i="55" s="1"/>
  <c r="L66" i="55" s="1"/>
  <c r="H133" i="55" a="1"/>
  <c r="H133" i="55" s="1"/>
  <c r="H151" i="55" a="1"/>
  <c r="H151" i="55" s="1"/>
  <c r="L151" i="55" s="1"/>
  <c r="J152" i="55" a="1"/>
  <c r="J152" i="55" s="1"/>
  <c r="H120" i="55" a="1"/>
  <c r="H120" i="55" s="1"/>
  <c r="L120" i="55" s="1"/>
  <c r="H31" i="55" a="1"/>
  <c r="H31" i="55" s="1"/>
  <c r="L31" i="55" s="1"/>
  <c r="J163" i="55" a="1"/>
  <c r="J163" i="55" s="1"/>
  <c r="J61" i="55" a="1"/>
  <c r="J61" i="55" s="1"/>
  <c r="H25" i="55" a="1"/>
  <c r="H25" i="55" s="1"/>
  <c r="H63" i="55" a="1"/>
  <c r="H63" i="55" s="1"/>
  <c r="L63" i="55" s="1"/>
  <c r="H145" i="55" a="1"/>
  <c r="H145" i="55" s="1"/>
  <c r="L145" i="55" s="1"/>
  <c r="J89" i="55" a="1"/>
  <c r="J89" i="55" s="1"/>
  <c r="J77" i="55" a="1"/>
  <c r="J77" i="55" s="1"/>
  <c r="H54" i="55" a="1"/>
  <c r="H54" i="55" s="1"/>
  <c r="L54" i="55" s="1"/>
  <c r="H87" i="55" a="1"/>
  <c r="H87" i="55" s="1"/>
  <c r="L87" i="55" s="1"/>
  <c r="J156" i="55" a="1"/>
  <c r="J156" i="55" s="1"/>
  <c r="J38" i="55" a="1"/>
  <c r="J38" i="55" s="1"/>
  <c r="H85" i="55" a="1"/>
  <c r="H85" i="55" s="1"/>
  <c r="L85" i="55" s="1"/>
  <c r="H27" i="55" a="1"/>
  <c r="H27" i="55" s="1"/>
  <c r="L27" i="55" s="1"/>
  <c r="H78" i="55" a="1"/>
  <c r="H78" i="55" s="1"/>
  <c r="J91" i="55" a="1"/>
  <c r="J91" i="55" s="1"/>
  <c r="J122" i="55" a="1"/>
  <c r="J122" i="55" s="1"/>
  <c r="J32" i="55" a="1"/>
  <c r="J32" i="55" s="1"/>
  <c r="J55" i="55" a="1"/>
  <c r="J55" i="55" s="1"/>
  <c r="J105" i="55" a="1"/>
  <c r="J105" i="55" s="1"/>
  <c r="H71" i="55" a="1"/>
  <c r="H71" i="55" s="1"/>
  <c r="L71" i="55" s="1"/>
  <c r="H139" i="55" a="1"/>
  <c r="H139" i="55" s="1"/>
  <c r="L139" i="55" s="1"/>
  <c r="H121" i="55" a="1"/>
  <c r="H121" i="55" s="1"/>
  <c r="H171" i="55" a="1"/>
  <c r="H171" i="55" s="1"/>
  <c r="L171" i="55" s="1"/>
  <c r="J59" i="55" a="1"/>
  <c r="J59" i="55" s="1"/>
  <c r="H96" i="55" a="1"/>
  <c r="H96" i="55" s="1"/>
  <c r="L96" i="55" s="1"/>
  <c r="J113" i="55" a="1"/>
  <c r="J113" i="55" s="1"/>
  <c r="J34" i="55" a="1"/>
  <c r="J34" i="55" s="1"/>
  <c r="J124" i="55" a="1"/>
  <c r="J124" i="55" s="1"/>
  <c r="H70" i="55" a="1"/>
  <c r="H70" i="55" s="1"/>
  <c r="H138" i="55" a="1"/>
  <c r="H138" i="55" s="1"/>
  <c r="L138" i="55" s="1"/>
  <c r="J167" i="55" a="1"/>
  <c r="J167" i="55" s="1"/>
  <c r="H135" i="55" a="1"/>
  <c r="H135" i="55" s="1"/>
  <c r="L135" i="55" s="1"/>
  <c r="J95" i="55" a="1"/>
  <c r="J95" i="55" s="1"/>
  <c r="J60" i="55" a="1"/>
  <c r="J60" i="55" s="1"/>
  <c r="H143" i="55" a="1"/>
  <c r="H143" i="55" s="1"/>
  <c r="L143" i="55" s="1"/>
  <c r="J84" i="55" a="1"/>
  <c r="J84" i="55" s="1"/>
  <c r="J137" i="55" a="1"/>
  <c r="J137" i="55" s="1"/>
  <c r="H141" i="55" a="1"/>
  <c r="H141" i="55" s="1"/>
  <c r="L141" i="55" s="1"/>
  <c r="H105" i="55" a="1"/>
  <c r="H105" i="55" s="1"/>
  <c r="L105" i="55" s="1"/>
  <c r="J121" i="55" a="1"/>
  <c r="J121" i="55" s="1"/>
  <c r="J98" i="55" a="1"/>
  <c r="J98" i="55" s="1"/>
  <c r="J36" i="55" a="1"/>
  <c r="J36" i="55" s="1"/>
  <c r="H73" i="55" a="1"/>
  <c r="H73" i="55" s="1"/>
  <c r="L73" i="55" s="1"/>
  <c r="J130" i="55" a="1"/>
  <c r="J130" i="55" s="1"/>
  <c r="H117" i="55" a="1"/>
  <c r="H117" i="55" s="1"/>
  <c r="H57" i="55" a="1"/>
  <c r="H57" i="55" s="1"/>
  <c r="L57" i="55" s="1"/>
  <c r="J118" i="55" a="1"/>
  <c r="J118" i="55" s="1"/>
  <c r="H136" i="55" a="1"/>
  <c r="H136" i="55" s="1"/>
  <c r="L136" i="55" s="1"/>
  <c r="H93" i="55" a="1"/>
  <c r="H93" i="55" s="1"/>
  <c r="L93" i="55" s="1"/>
  <c r="J101" i="55" a="1"/>
  <c r="J101" i="55" s="1"/>
  <c r="H98" i="55" a="1"/>
  <c r="H98" i="55" s="1"/>
  <c r="H30" i="55" a="1"/>
  <c r="H30" i="55" s="1"/>
  <c r="J53" i="55" a="1"/>
  <c r="J53" i="55" s="1"/>
  <c r="H80" i="55" a="1"/>
  <c r="H80" i="55" s="1"/>
  <c r="L80" i="55" s="1"/>
  <c r="H127" i="55" a="1"/>
  <c r="H127" i="55" s="1"/>
  <c r="L127" i="55" s="1"/>
  <c r="J155" i="55" a="1"/>
  <c r="J155" i="55" s="1"/>
  <c r="H144" i="55" a="1"/>
  <c r="H144" i="55" s="1"/>
  <c r="J144" i="55" a="1"/>
  <c r="J144" i="55" s="1"/>
  <c r="J179" i="55" a="1"/>
  <c r="J179" i="55" s="1"/>
  <c r="J175" i="55" a="1"/>
  <c r="J175" i="55" s="1"/>
  <c r="H175" i="55" a="1"/>
  <c r="H175" i="55" s="1"/>
  <c r="H178" i="55" a="1"/>
  <c r="H178" i="55" s="1"/>
  <c r="L178" i="55" s="1"/>
  <c r="H180" i="55" a="1"/>
  <c r="H180" i="55" s="1"/>
  <c r="L180" i="55" s="1"/>
  <c r="J92" i="55" a="1"/>
  <c r="J92" i="55" s="1"/>
  <c r="H76" i="55" a="1"/>
  <c r="H76" i="55" s="1"/>
  <c r="L76" i="55" s="1"/>
  <c r="J154" i="55" a="1"/>
  <c r="J154" i="55" s="1"/>
  <c r="H40" i="55" a="1"/>
  <c r="H40" i="55" s="1"/>
  <c r="H29" i="55" a="1"/>
  <c r="H29" i="55" s="1"/>
  <c r="L29" i="55" s="1"/>
  <c r="J111" i="55" a="1"/>
  <c r="J111" i="55" s="1"/>
  <c r="J108" i="55" a="1"/>
  <c r="J108" i="55" s="1"/>
  <c r="H33" i="55" a="1"/>
  <c r="H33" i="55" s="1"/>
  <c r="L33" i="55" s="1"/>
  <c r="J90" i="55" a="1"/>
  <c r="J90" i="55" s="1"/>
  <c r="J117" i="55" a="1"/>
  <c r="J117" i="55" s="1"/>
  <c r="H32" i="55" a="1"/>
  <c r="H32" i="55" s="1"/>
  <c r="H58" i="55" a="1"/>
  <c r="H58" i="55" s="1"/>
  <c r="J164" i="55" a="1"/>
  <c r="J164" i="55" s="1"/>
  <c r="J133" i="55" a="1"/>
  <c r="J133" i="55" s="1"/>
  <c r="H52" i="55" a="1"/>
  <c r="H52" i="55" s="1"/>
  <c r="L52" i="55" s="1"/>
  <c r="J109" i="55" a="1"/>
  <c r="J109" i="55" s="1"/>
  <c r="H100" i="55" a="1"/>
  <c r="H100" i="55" s="1"/>
  <c r="L100" i="55" s="1"/>
  <c r="J129" i="55" a="1"/>
  <c r="J129" i="55" s="1"/>
  <c r="H42" i="55" a="1"/>
  <c r="H42" i="55" s="1"/>
  <c r="L42" i="55" s="1"/>
  <c r="J58" i="55" a="1"/>
  <c r="J58" i="55" s="1"/>
  <c r="J169" i="55" a="1"/>
  <c r="J169" i="55" s="1"/>
  <c r="J159" i="55" a="1"/>
  <c r="J159" i="55" s="1"/>
  <c r="H156" i="55" a="1"/>
  <c r="H156" i="55" s="1"/>
  <c r="L156" i="55" s="1"/>
  <c r="H39" i="55" a="1"/>
  <c r="H39" i="55" s="1"/>
  <c r="L39" i="55" s="1"/>
  <c r="H41" i="55" a="1"/>
  <c r="H41" i="55" s="1"/>
  <c r="L41" i="55" s="1"/>
  <c r="H132" i="55" a="1"/>
  <c r="H132" i="55" s="1"/>
  <c r="L132" i="55" s="1"/>
  <c r="J140" i="55" a="1"/>
  <c r="J140" i="55" s="1"/>
  <c r="J40" i="55" a="1"/>
  <c r="J40" i="55" s="1"/>
  <c r="H158" i="55" a="1"/>
  <c r="H158" i="55" s="1"/>
  <c r="L158" i="55" s="1"/>
  <c r="H111" i="55" a="1"/>
  <c r="H111" i="55" s="1"/>
  <c r="L111" i="55" s="1"/>
  <c r="J46" i="55" a="1"/>
  <c r="J46" i="55" s="1"/>
  <c r="H46" i="55" a="1"/>
  <c r="H46" i="55" s="1"/>
  <c r="L46" i="55" s="1"/>
  <c r="H84" i="55" a="1"/>
  <c r="H84" i="55" s="1"/>
  <c r="L84" i="55" s="1"/>
  <c r="H94" i="55" a="1"/>
  <c r="H94" i="55" s="1"/>
  <c r="H125" i="55" a="1"/>
  <c r="H125" i="55" s="1"/>
  <c r="L125" i="55" s="1"/>
  <c r="H72" i="55" a="1"/>
  <c r="H72" i="55" s="1"/>
  <c r="L72" i="55" s="1"/>
  <c r="H123" i="55" a="1"/>
  <c r="H123" i="55" s="1"/>
  <c r="L123" i="55" s="1"/>
  <c r="H160" i="55" a="1"/>
  <c r="H160" i="55" s="1"/>
  <c r="L160" i="55" s="1"/>
  <c r="H106" i="55" a="1"/>
  <c r="H106" i="55" s="1"/>
  <c r="L106" i="55" s="1"/>
  <c r="H61" i="55" a="1"/>
  <c r="H61" i="55" s="1"/>
  <c r="L61" i="55" s="1"/>
  <c r="J78" i="55" a="1"/>
  <c r="J78" i="55" s="1"/>
  <c r="E48" i="15" a="1"/>
  <c r="E48" i="15" s="1"/>
  <c r="I48" i="15" s="1"/>
  <c r="E50" i="15" a="1"/>
  <c r="E50" i="15" s="1"/>
  <c r="H19" i="55" a="1"/>
  <c r="H19" i="55" s="1"/>
  <c r="E49" i="15" a="1"/>
  <c r="E49" i="15" s="1"/>
  <c r="E7" i="12" a="1"/>
  <c r="E7" i="12" s="1"/>
  <c r="G7" i="12" s="1"/>
  <c r="H20" i="55" a="1"/>
  <c r="H20" i="55" s="1"/>
  <c r="F9" i="12" a="1"/>
  <c r="F9" i="12" s="1"/>
  <c r="E31" i="15" a="1"/>
  <c r="E31" i="15" s="1"/>
  <c r="G31" i="15" s="1"/>
  <c r="E10" i="12" a="1"/>
  <c r="E10" i="12" s="1"/>
  <c r="G10" i="12" s="1"/>
  <c r="H11" i="55" a="1"/>
  <c r="H11" i="55" s="1"/>
  <c r="E53" i="15" a="1"/>
  <c r="E53" i="15" s="1"/>
  <c r="E22" i="15" a="1"/>
  <c r="E22" i="15" s="1"/>
  <c r="G22" i="15" s="1"/>
  <c r="E35" i="15" a="1"/>
  <c r="E35" i="15" s="1"/>
  <c r="F14" i="15" a="1"/>
  <c r="F14" i="15" s="1"/>
  <c r="E20" i="15" a="1"/>
  <c r="E20" i="15" s="1"/>
  <c r="F41" i="15" a="1"/>
  <c r="F41" i="15" s="1"/>
  <c r="F20" i="15" a="1"/>
  <c r="F20" i="15" s="1"/>
  <c r="H28" i="55" a="1"/>
  <c r="H28" i="55" s="1"/>
  <c r="F15" i="15" a="1"/>
  <c r="F15" i="15" s="1"/>
  <c r="E37" i="15" a="1"/>
  <c r="E37" i="15" s="1"/>
  <c r="F12" i="15" a="1"/>
  <c r="F12" i="15" s="1"/>
  <c r="E19" i="15" a="1"/>
  <c r="E19" i="15" s="1"/>
  <c r="F17" i="15" a="1"/>
  <c r="F17" i="15" s="1"/>
  <c r="F24" i="15" a="1"/>
  <c r="F24" i="15" s="1"/>
  <c r="E15" i="15" a="1"/>
  <c r="E15" i="15" s="1"/>
  <c r="F23" i="15" a="1"/>
  <c r="F23" i="15" s="1"/>
  <c r="H23" i="15" s="1"/>
  <c r="E6" i="12" a="1"/>
  <c r="E6" i="12" s="1"/>
  <c r="E54" i="15" a="1"/>
  <c r="E54" i="15" s="1"/>
  <c r="F26" i="15" a="1"/>
  <c r="F26" i="15" s="1"/>
  <c r="E32" i="70" a="1"/>
  <c r="E32" i="70" s="1"/>
  <c r="G32" i="70" s="1"/>
  <c r="E37" i="70" a="1"/>
  <c r="E37" i="70" s="1"/>
  <c r="G37" i="70" s="1"/>
  <c r="F34" i="70" a="1"/>
  <c r="F34" i="70" s="1"/>
  <c r="H34" i="70" s="1"/>
  <c r="E35" i="70" a="1"/>
  <c r="E35" i="70" s="1"/>
  <c r="G35" i="70" s="1"/>
  <c r="J126" i="55" a="1"/>
  <c r="J126" i="55" s="1"/>
  <c r="J94" i="55" a="1"/>
  <c r="J94" i="55" s="1"/>
  <c r="H67" i="55" a="1"/>
  <c r="H67" i="55" s="1"/>
  <c r="L67" i="55" s="1"/>
  <c r="H48" i="55" a="1"/>
  <c r="H48" i="55" s="1"/>
  <c r="L48" i="55" s="1"/>
  <c r="J82" i="55" a="1"/>
  <c r="J82" i="55" s="1"/>
  <c r="H99" i="55" a="1"/>
  <c r="H99" i="55" s="1"/>
  <c r="L99" i="55" s="1"/>
  <c r="F54" i="15" a="1"/>
  <c r="F54" i="15" s="1"/>
  <c r="J19" i="55" a="1"/>
  <c r="J19" i="55" s="1"/>
  <c r="E51" i="15" a="1"/>
  <c r="E51" i="15" s="1"/>
  <c r="F42" i="15" a="1"/>
  <c r="F42" i="15" s="1"/>
  <c r="F10" i="15" a="1"/>
  <c r="F10" i="15" s="1"/>
  <c r="E24" i="15" a="1"/>
  <c r="E24" i="15" s="1"/>
  <c r="E39" i="70" a="1"/>
  <c r="E39" i="70" s="1"/>
  <c r="F51" i="15" a="1"/>
  <c r="F51" i="15" s="1"/>
  <c r="E11" i="12" a="1"/>
  <c r="E11" i="12" s="1"/>
  <c r="G11" i="12" s="1"/>
  <c r="F29" i="70" a="1"/>
  <c r="F29" i="70" s="1"/>
  <c r="H29" i="70" s="1"/>
  <c r="E18" i="70" a="1"/>
  <c r="E18" i="70" s="1"/>
  <c r="G18" i="70" s="1"/>
  <c r="J20" i="55" a="1"/>
  <c r="J20" i="55" s="1"/>
  <c r="F8" i="70" a="1"/>
  <c r="F8" i="70" s="1"/>
  <c r="F6" i="70" a="1"/>
  <c r="F6" i="70" s="1"/>
  <c r="F21" i="70" a="1"/>
  <c r="F21" i="70" s="1"/>
  <c r="F25" i="70" a="1"/>
  <c r="F25" i="70" s="1"/>
  <c r="E10" i="70" a="1"/>
  <c r="E10" i="70" s="1"/>
  <c r="E26" i="70" a="1"/>
  <c r="E26" i="70" s="1"/>
  <c r="E12" i="70" a="1"/>
  <c r="E12" i="70" s="1"/>
  <c r="E8" i="70" a="1"/>
  <c r="E8" i="70" s="1"/>
  <c r="F9" i="70" a="1"/>
  <c r="F9" i="70" s="1"/>
  <c r="E11" i="70" a="1"/>
  <c r="E11" i="70" s="1"/>
  <c r="F12" i="70" a="1"/>
  <c r="F12" i="70" s="1"/>
  <c r="H12" i="70" s="1"/>
  <c r="F47" i="15" a="1"/>
  <c r="F47" i="15" s="1"/>
  <c r="J18" i="55" a="1"/>
  <c r="J18" i="55" s="1"/>
  <c r="E25" i="70" a="1"/>
  <c r="E25" i="70" s="1"/>
  <c r="F16" i="70" a="1"/>
  <c r="F16" i="70" s="1"/>
  <c r="H126" i="55" a="1"/>
  <c r="H126" i="55" s="1"/>
  <c r="L126" i="55" s="1"/>
  <c r="J110" i="55" a="1"/>
  <c r="J110" i="55" s="1"/>
  <c r="J115" i="55" a="1"/>
  <c r="J115" i="55" s="1"/>
  <c r="J116" i="55" a="1"/>
  <c r="J116" i="55" s="1"/>
  <c r="J86" i="55" a="1"/>
  <c r="J86" i="55" s="1"/>
  <c r="H131" i="55" a="1"/>
  <c r="H131" i="55" s="1"/>
  <c r="L131" i="55" s="1"/>
  <c r="H104" i="55" a="1"/>
  <c r="H104" i="55" s="1"/>
  <c r="L104" i="55" s="1"/>
  <c r="J16" i="55" a="1"/>
  <c r="J16" i="55" s="1"/>
  <c r="J11" i="55" a="1"/>
  <c r="J11" i="55" s="1"/>
  <c r="E52" i="15" a="1"/>
  <c r="E52" i="15" s="1"/>
  <c r="E44" i="15" a="1"/>
  <c r="E44" i="15" s="1"/>
  <c r="E30" i="15" a="1"/>
  <c r="E30" i="15" s="1"/>
  <c r="E41" i="15" a="1"/>
  <c r="E41" i="15" s="1"/>
  <c r="E38" i="70" a="1"/>
  <c r="E38" i="70" s="1"/>
  <c r="E36" i="70" a="1"/>
  <c r="E36" i="70" s="1"/>
  <c r="G36" i="70" s="1"/>
  <c r="E8" i="12" a="1"/>
  <c r="E8" i="12" s="1"/>
  <c r="E31" i="70" a="1"/>
  <c r="E31" i="70" s="1"/>
  <c r="G31" i="70" s="1"/>
  <c r="H12" i="55" a="1"/>
  <c r="H12" i="55" s="1"/>
  <c r="L12" i="55" s="1"/>
  <c r="F23" i="70" a="1"/>
  <c r="F23" i="70" s="1"/>
  <c r="E23" i="70" a="1"/>
  <c r="E23" i="70" s="1"/>
  <c r="F11" i="70" a="1"/>
  <c r="F11" i="70" s="1"/>
  <c r="H11" i="70" s="1"/>
  <c r="E22" i="70" a="1"/>
  <c r="E22" i="70" s="1"/>
  <c r="F14" i="70" a="1"/>
  <c r="F14" i="70" s="1"/>
  <c r="E16" i="70" a="1"/>
  <c r="E16" i="70" s="1"/>
  <c r="G16" i="70" s="1"/>
  <c r="F7" i="70" a="1"/>
  <c r="F7" i="70" s="1"/>
  <c r="E6" i="70" a="1"/>
  <c r="E6" i="70" s="1"/>
  <c r="E20" i="70" a="1"/>
  <c r="E20" i="70" s="1"/>
  <c r="F50" i="15" a="1"/>
  <c r="F50" i="15" s="1"/>
  <c r="H162" i="55" a="1"/>
  <c r="H162" i="55" s="1"/>
  <c r="L162" i="55" s="1"/>
  <c r="H150" i="55" a="1"/>
  <c r="H150" i="55" s="1"/>
  <c r="L150" i="55" s="1"/>
  <c r="J119" i="55" a="1"/>
  <c r="J119" i="55" s="1"/>
  <c r="H115" i="55" a="1"/>
  <c r="H115" i="55" s="1"/>
  <c r="J30" i="55" a="1"/>
  <c r="J30" i="55" s="1"/>
  <c r="H161" i="55" a="1"/>
  <c r="H161" i="55" s="1"/>
  <c r="L161" i="55" s="1"/>
  <c r="J10" i="55" a="1"/>
  <c r="J10" i="55" s="1"/>
  <c r="J50" i="55" a="1"/>
  <c r="J50" i="55" s="1"/>
  <c r="F44" i="15" a="1"/>
  <c r="F44" i="15" s="1"/>
  <c r="F45" i="15" s="1"/>
  <c r="J21" i="55" a="1"/>
  <c r="J21" i="55" s="1"/>
  <c r="F39" i="15" a="1"/>
  <c r="F39" i="15" s="1"/>
  <c r="E9" i="12" a="1"/>
  <c r="E9" i="12" s="1"/>
  <c r="G9" i="12" s="1"/>
  <c r="F38" i="70" a="1"/>
  <c r="F38" i="70" s="1"/>
  <c r="F39" i="70" a="1"/>
  <c r="F39" i="70" s="1"/>
  <c r="H39" i="70" s="1"/>
  <c r="E33" i="70" a="1"/>
  <c r="E33" i="70" s="1"/>
  <c r="G33" i="70" s="1"/>
  <c r="F12" i="12" a="1"/>
  <c r="F12" i="12" s="1"/>
  <c r="H12" i="12" s="1"/>
  <c r="F30" i="70" a="1"/>
  <c r="F30" i="70" s="1"/>
  <c r="H30" i="70" s="1"/>
  <c r="E14" i="70" a="1"/>
  <c r="E14" i="70" s="1"/>
  <c r="G14" i="70" s="1"/>
  <c r="F20" i="70" a="1"/>
  <c r="F20" i="70" s="1"/>
  <c r="H20" i="70" s="1"/>
  <c r="E27" i="70" a="1"/>
  <c r="E27" i="70" s="1"/>
  <c r="E15" i="70" a="1"/>
  <c r="E15" i="70" s="1"/>
  <c r="E9" i="70" a="1"/>
  <c r="E9" i="70" s="1"/>
  <c r="G9" i="70" s="1"/>
  <c r="E19" i="70" a="1"/>
  <c r="E19" i="70" s="1"/>
  <c r="F22" i="70" a="1"/>
  <c r="F22" i="70" s="1"/>
  <c r="F19" i="70" a="1"/>
  <c r="F19" i="70" s="1"/>
  <c r="F27" i="70" a="1"/>
  <c r="F27" i="70" s="1"/>
  <c r="H27" i="70" s="1"/>
  <c r="H149" i="55" a="1"/>
  <c r="H149" i="55" s="1"/>
  <c r="L149" i="55" s="1"/>
  <c r="H91" i="55" a="1"/>
  <c r="H91" i="55" s="1"/>
  <c r="L91" i="55" s="1"/>
  <c r="J37" i="55" a="1"/>
  <c r="J37" i="55" s="1"/>
  <c r="J70" i="55" a="1"/>
  <c r="J70" i="55" s="1"/>
  <c r="H92" i="55" a="1"/>
  <c r="H92" i="55" s="1"/>
  <c r="L92" i="55" s="1"/>
  <c r="F52" i="15" a="1"/>
  <c r="F52" i="15" s="1"/>
  <c r="F49" i="15" a="1"/>
  <c r="F49" i="15" s="1"/>
  <c r="J28" i="55" a="1"/>
  <c r="J28" i="55" s="1"/>
  <c r="F30" i="15" a="1"/>
  <c r="F30" i="15" s="1"/>
  <c r="F6" i="12" a="1"/>
  <c r="F6" i="12" s="1"/>
  <c r="E14" i="15" a="1"/>
  <c r="E14" i="15" s="1"/>
  <c r="G14" i="15" s="1"/>
  <c r="E40" i="70" a="1"/>
  <c r="E40" i="70" s="1"/>
  <c r="G40" i="70" s="1"/>
  <c r="F40" i="70" a="1"/>
  <c r="F40" i="70" s="1"/>
  <c r="F8" i="12" a="1"/>
  <c r="F8" i="12" s="1"/>
  <c r="H8" i="12" s="1"/>
  <c r="E28" i="70" a="1"/>
  <c r="E28" i="70" s="1"/>
  <c r="G28" i="70" s="1"/>
  <c r="E7" i="70" a="1"/>
  <c r="E7" i="70" s="1"/>
  <c r="G7" i="70" s="1"/>
  <c r="E13" i="70" a="1"/>
  <c r="E13" i="70" s="1"/>
  <c r="F10" i="70" a="1"/>
  <c r="F10" i="70" s="1"/>
  <c r="E17" i="70" a="1"/>
  <c r="E17" i="70" s="1"/>
  <c r="F13" i="70" a="1"/>
  <c r="F13" i="70" s="1"/>
  <c r="H13" i="70" s="1"/>
  <c r="F15" i="70" a="1"/>
  <c r="F15" i="70" s="1"/>
  <c r="E24" i="70" a="1"/>
  <c r="E24" i="70" s="1"/>
  <c r="F24" i="70" a="1"/>
  <c r="F24" i="70" s="1"/>
  <c r="H24" i="70" s="1"/>
  <c r="E21" i="70" a="1"/>
  <c r="E21" i="70" s="1"/>
  <c r="G21" i="70" s="1"/>
  <c r="F17" i="70" a="1"/>
  <c r="F17" i="70" s="1"/>
  <c r="J9" i="55" a="1"/>
  <c r="J9" i="55" s="1"/>
  <c r="F53" i="15" a="1"/>
  <c r="F53" i="15" s="1"/>
  <c r="F26" i="70" a="1"/>
  <c r="F26" i="70" s="1"/>
  <c r="H26" i="70" s="1"/>
  <c r="H16" i="55" a="1"/>
  <c r="H16" i="55" s="1"/>
  <c r="I14" i="71"/>
  <c r="H14" i="71"/>
  <c r="H34" i="14"/>
  <c r="I34" i="14"/>
  <c r="H40" i="14"/>
  <c r="I40" i="14"/>
  <c r="I20" i="73"/>
  <c r="I30" i="73"/>
  <c r="D26" i="73"/>
  <c r="E26" i="73" s="1"/>
  <c r="A37" i="73"/>
  <c r="H32" i="73"/>
  <c r="A11" i="73"/>
  <c r="G38" i="73"/>
  <c r="B18" i="73"/>
  <c r="C36" i="73"/>
  <c r="A47" i="73"/>
  <c r="H49" i="73"/>
  <c r="C42" i="73"/>
  <c r="F42" i="73"/>
  <c r="H44" i="73"/>
  <c r="C44" i="73"/>
  <c r="G47" i="73"/>
  <c r="D42" i="73"/>
  <c r="E42" i="73" s="1"/>
  <c r="D20" i="73"/>
  <c r="E20" i="73" s="1"/>
  <c r="I23" i="73"/>
  <c r="A25" i="73"/>
  <c r="C34" i="73"/>
  <c r="G18" i="73"/>
  <c r="A33" i="73"/>
  <c r="F24" i="73"/>
  <c r="F30" i="73"/>
  <c r="I29" i="73"/>
  <c r="B22" i="73"/>
  <c r="C33" i="73"/>
  <c r="F36" i="73"/>
  <c r="D16" i="73"/>
  <c r="E16" i="73" s="1"/>
  <c r="G27" i="73"/>
  <c r="C38" i="73"/>
  <c r="I38" i="73"/>
  <c r="F40" i="73"/>
  <c r="G39" i="73"/>
  <c r="F25" i="73"/>
  <c r="A35" i="73"/>
  <c r="H26" i="73"/>
  <c r="G43" i="73"/>
  <c r="F43" i="73"/>
  <c r="I43" i="73"/>
  <c r="C46" i="73"/>
  <c r="G49" i="73"/>
  <c r="H42" i="73"/>
  <c r="I21" i="73"/>
  <c r="C37" i="73"/>
  <c r="B14" i="73"/>
  <c r="B23" i="73"/>
  <c r="F14" i="73"/>
  <c r="C31" i="73"/>
  <c r="G37" i="73"/>
  <c r="F27" i="73"/>
  <c r="D27" i="73"/>
  <c r="E27" i="73" s="1"/>
  <c r="G11" i="73"/>
  <c r="A50" i="73"/>
  <c r="F44" i="73"/>
  <c r="D50" i="73"/>
  <c r="E50" i="73" s="1"/>
  <c r="B26" i="73"/>
  <c r="A27" i="73"/>
  <c r="D12" i="73"/>
  <c r="E12" i="73" s="1"/>
  <c r="D14" i="73"/>
  <c r="E14" i="73" s="1"/>
  <c r="C30" i="73"/>
  <c r="B36" i="73"/>
  <c r="A26" i="73"/>
  <c r="B32" i="73"/>
  <c r="D116" i="42"/>
  <c r="H116" i="42"/>
  <c r="A116" i="42"/>
  <c r="E116" i="42"/>
  <c r="I116" i="42" s="1"/>
  <c r="B116" i="42"/>
  <c r="F116" i="42"/>
  <c r="C116" i="42"/>
  <c r="G116" i="42"/>
  <c r="D115" i="42"/>
  <c r="D107" i="42"/>
  <c r="D99" i="42"/>
  <c r="D91" i="42"/>
  <c r="G110" i="42"/>
  <c r="G102" i="42"/>
  <c r="G94" i="42"/>
  <c r="F115" i="42"/>
  <c r="F107" i="42"/>
  <c r="F99" i="42"/>
  <c r="F91" i="42"/>
  <c r="E111" i="42"/>
  <c r="E103" i="42"/>
  <c r="E95" i="42"/>
  <c r="H114" i="42"/>
  <c r="H106" i="42"/>
  <c r="H98" i="42"/>
  <c r="H90" i="42"/>
  <c r="C110" i="42"/>
  <c r="C102" i="42"/>
  <c r="C94" i="42"/>
  <c r="B115" i="42"/>
  <c r="B107" i="42"/>
  <c r="B99" i="42"/>
  <c r="B91" i="42"/>
  <c r="A111" i="42"/>
  <c r="A103" i="42"/>
  <c r="A95" i="42"/>
  <c r="D114" i="42"/>
  <c r="D106" i="42"/>
  <c r="D98" i="42"/>
  <c r="D90" i="42"/>
  <c r="G111" i="42"/>
  <c r="G103" i="42"/>
  <c r="G95" i="42"/>
  <c r="F114" i="42"/>
  <c r="F106" i="42"/>
  <c r="F98" i="42"/>
  <c r="F90" i="42"/>
  <c r="E110" i="42"/>
  <c r="E102" i="42"/>
  <c r="E94" i="42"/>
  <c r="H115" i="42"/>
  <c r="H107" i="42"/>
  <c r="H99" i="42"/>
  <c r="H91" i="42"/>
  <c r="C111" i="42"/>
  <c r="C103" i="42"/>
  <c r="C95" i="42"/>
  <c r="B114" i="42"/>
  <c r="B106" i="42"/>
  <c r="B98" i="42"/>
  <c r="B90" i="42"/>
  <c r="A110" i="42"/>
  <c r="A102" i="42"/>
  <c r="A94" i="42"/>
  <c r="H87" i="42"/>
  <c r="G87" i="42"/>
  <c r="A87" i="42"/>
  <c r="F80" i="42"/>
  <c r="D82" i="42"/>
  <c r="C82" i="42"/>
  <c r="B82" i="42"/>
  <c r="A82" i="42"/>
  <c r="G80" i="42"/>
  <c r="H83" i="42"/>
  <c r="G83" i="42"/>
  <c r="F83" i="42"/>
  <c r="E83" i="42"/>
  <c r="G82" i="42"/>
  <c r="D85" i="42"/>
  <c r="C85" i="42"/>
  <c r="B85" i="42"/>
  <c r="A85" i="42"/>
  <c r="G78" i="42"/>
  <c r="H70" i="42"/>
  <c r="H62" i="42"/>
  <c r="F76" i="42"/>
  <c r="G68" i="42"/>
  <c r="G60" i="42"/>
  <c r="E74" i="42"/>
  <c r="F66" i="42"/>
  <c r="F58" i="42"/>
  <c r="E72" i="42"/>
  <c r="E64" i="42"/>
  <c r="C78" i="42"/>
  <c r="D70" i="42"/>
  <c r="D62" i="42"/>
  <c r="B76" i="42"/>
  <c r="C68" i="42"/>
  <c r="C60" i="42"/>
  <c r="A74" i="42"/>
  <c r="B66" i="42"/>
  <c r="B58" i="42"/>
  <c r="A72" i="42"/>
  <c r="A64" i="42"/>
  <c r="G77" i="42"/>
  <c r="H69" i="42"/>
  <c r="H61" i="42"/>
  <c r="F75" i="42"/>
  <c r="G67" i="42"/>
  <c r="G59" i="42"/>
  <c r="E73" i="42"/>
  <c r="F65" i="42"/>
  <c r="F57" i="42"/>
  <c r="E71" i="42"/>
  <c r="E63" i="42"/>
  <c r="C77" i="42"/>
  <c r="D69" i="42"/>
  <c r="D61" i="42"/>
  <c r="B75" i="42"/>
  <c r="C67" i="42"/>
  <c r="C59" i="42"/>
  <c r="A73" i="42"/>
  <c r="B65" i="42"/>
  <c r="B57" i="42"/>
  <c r="A71" i="42"/>
  <c r="A63" i="42"/>
  <c r="D113" i="42"/>
  <c r="D103" i="42"/>
  <c r="D93" i="42"/>
  <c r="G108" i="42"/>
  <c r="G98" i="42"/>
  <c r="G88" i="42"/>
  <c r="F105" i="42"/>
  <c r="F95" i="42"/>
  <c r="E113" i="42"/>
  <c r="E101" i="42"/>
  <c r="E91" i="42"/>
  <c r="H108" i="42"/>
  <c r="H96" i="42"/>
  <c r="C114" i="42"/>
  <c r="C104" i="42"/>
  <c r="C92" i="42"/>
  <c r="B111" i="42"/>
  <c r="B101" i="42"/>
  <c r="B89" i="42"/>
  <c r="A107" i="42"/>
  <c r="A97" i="42"/>
  <c r="D112" i="42"/>
  <c r="D102" i="42"/>
  <c r="D92" i="42"/>
  <c r="G109" i="42"/>
  <c r="G99" i="42"/>
  <c r="G89" i="42"/>
  <c r="F104" i="42"/>
  <c r="F94" i="42"/>
  <c r="E112" i="42"/>
  <c r="E100" i="42"/>
  <c r="E90" i="42"/>
  <c r="H109" i="42"/>
  <c r="H97" i="42"/>
  <c r="C115" i="42"/>
  <c r="C105" i="42"/>
  <c r="C93" i="42"/>
  <c r="B110" i="42"/>
  <c r="B100" i="42"/>
  <c r="B88" i="42"/>
  <c r="A106" i="42"/>
  <c r="A96" i="42"/>
  <c r="F87" i="42"/>
  <c r="H86" i="42"/>
  <c r="F86" i="42"/>
  <c r="D80" i="42"/>
  <c r="B86" i="42"/>
  <c r="A84" i="42"/>
  <c r="F82" i="42"/>
  <c r="H79" i="42"/>
  <c r="F85" i="42"/>
  <c r="E81" i="42"/>
  <c r="E86" i="42"/>
  <c r="D79" i="42"/>
  <c r="B83" i="42"/>
  <c r="A81" i="42"/>
  <c r="H72" i="42"/>
  <c r="H60" i="42"/>
  <c r="G72" i="42"/>
  <c r="G62" i="42"/>
  <c r="F72" i="42"/>
  <c r="F62" i="42"/>
  <c r="H74" i="42"/>
  <c r="E62" i="42"/>
  <c r="C74" i="42"/>
  <c r="D64" i="42"/>
  <c r="B74" i="42"/>
  <c r="C64" i="42"/>
  <c r="A76" i="42"/>
  <c r="B64" i="42"/>
  <c r="D76" i="42"/>
  <c r="A66" i="42"/>
  <c r="G75" i="42"/>
  <c r="D111" i="42"/>
  <c r="D101" i="42"/>
  <c r="D89" i="42"/>
  <c r="G106" i="42"/>
  <c r="G96" i="42"/>
  <c r="F113" i="42"/>
  <c r="F103" i="42"/>
  <c r="F93" i="42"/>
  <c r="E109" i="42"/>
  <c r="E99" i="42"/>
  <c r="E89" i="42"/>
  <c r="H104" i="42"/>
  <c r="H94" i="42"/>
  <c r="C112" i="42"/>
  <c r="C100" i="42"/>
  <c r="C90" i="42"/>
  <c r="B109" i="42"/>
  <c r="B97" i="42"/>
  <c r="A115" i="42"/>
  <c r="A105" i="42"/>
  <c r="A93" i="42"/>
  <c r="D110" i="42"/>
  <c r="D100" i="42"/>
  <c r="D88" i="42"/>
  <c r="G107" i="42"/>
  <c r="G97" i="42"/>
  <c r="F112" i="42"/>
  <c r="F102" i="42"/>
  <c r="F92" i="42"/>
  <c r="E108" i="42"/>
  <c r="E98" i="42"/>
  <c r="E88" i="42"/>
  <c r="H105" i="42"/>
  <c r="H95" i="42"/>
  <c r="C113" i="42"/>
  <c r="C101" i="42"/>
  <c r="C91" i="42"/>
  <c r="B108" i="42"/>
  <c r="B96" i="42"/>
  <c r="A114" i="42"/>
  <c r="A104" i="42"/>
  <c r="A92" i="42"/>
  <c r="D87" i="42"/>
  <c r="C87" i="42"/>
  <c r="E82" i="42"/>
  <c r="C86" i="42"/>
  <c r="B84" i="42"/>
  <c r="A80" i="42"/>
  <c r="E84" i="42"/>
  <c r="G85" i="42"/>
  <c r="F81" i="42"/>
  <c r="E79" i="42"/>
  <c r="E80" i="42"/>
  <c r="C83" i="42"/>
  <c r="B81" i="42"/>
  <c r="A57" i="42"/>
  <c r="H68" i="42"/>
  <c r="H58" i="42"/>
  <c r="G70" i="42"/>
  <c r="G58" i="42"/>
  <c r="F70" i="42"/>
  <c r="F60" i="42"/>
  <c r="E70" i="42"/>
  <c r="E60" i="42"/>
  <c r="D72" i="42"/>
  <c r="D60" i="42"/>
  <c r="C72" i="42"/>
  <c r="C62" i="42"/>
  <c r="B72" i="42"/>
  <c r="B62" i="42"/>
  <c r="D74" i="42"/>
  <c r="A62" i="42"/>
  <c r="G73" i="42"/>
  <c r="H63" i="42"/>
  <c r="F73" i="42"/>
  <c r="G63" i="42"/>
  <c r="E75" i="42"/>
  <c r="F63" i="42"/>
  <c r="H75" i="42"/>
  <c r="E65" i="42"/>
  <c r="C75" i="42"/>
  <c r="D65" i="42"/>
  <c r="B77" i="42"/>
  <c r="C65" i="42"/>
  <c r="A77" i="42"/>
  <c r="B67" i="42"/>
  <c r="D77" i="42"/>
  <c r="A67" i="42"/>
  <c r="D105" i="42"/>
  <c r="G112" i="42"/>
  <c r="G90" i="42"/>
  <c r="F97" i="42"/>
  <c r="E105" i="42"/>
  <c r="H110" i="42"/>
  <c r="H88" i="42"/>
  <c r="C96" i="42"/>
  <c r="B103" i="42"/>
  <c r="A109" i="42"/>
  <c r="A89" i="42"/>
  <c r="D94" i="42"/>
  <c r="G101" i="42"/>
  <c r="F108" i="42"/>
  <c r="E114" i="42"/>
  <c r="E92" i="42"/>
  <c r="H101" i="42"/>
  <c r="C107" i="42"/>
  <c r="B112" i="42"/>
  <c r="B92" i="42"/>
  <c r="A98" i="42"/>
  <c r="E87" i="42"/>
  <c r="D84" i="42"/>
  <c r="A86" i="42"/>
  <c r="H81" i="42"/>
  <c r="E85" i="42"/>
  <c r="D81" i="42"/>
  <c r="A83" i="42"/>
  <c r="H64" i="42"/>
  <c r="G64" i="42"/>
  <c r="F64" i="42"/>
  <c r="E66" i="42"/>
  <c r="D66" i="42"/>
  <c r="C66" i="42"/>
  <c r="B68" i="42"/>
  <c r="A68" i="42"/>
  <c r="H67" i="42"/>
  <c r="F77" i="42"/>
  <c r="G61" i="42"/>
  <c r="F69" i="42"/>
  <c r="H77" i="42"/>
  <c r="E61" i="42"/>
  <c r="D71" i="42"/>
  <c r="D57" i="42"/>
  <c r="C63" i="42"/>
  <c r="B71" i="42"/>
  <c r="B59" i="42"/>
  <c r="A65" i="42"/>
  <c r="D97" i="42"/>
  <c r="G104" i="42"/>
  <c r="F111" i="42"/>
  <c r="F89" i="42"/>
  <c r="E97" i="42"/>
  <c r="H102" i="42"/>
  <c r="C108" i="42"/>
  <c r="C88" i="42"/>
  <c r="B95" i="42"/>
  <c r="A101" i="42"/>
  <c r="D108" i="42"/>
  <c r="G115" i="42"/>
  <c r="G93" i="42"/>
  <c r="F100" i="42"/>
  <c r="E106" i="42"/>
  <c r="H113" i="42"/>
  <c r="H93" i="42"/>
  <c r="C99" i="42"/>
  <c r="B104" i="42"/>
  <c r="A112" i="42"/>
  <c r="A90" i="42"/>
  <c r="H82" i="42"/>
  <c r="C84" i="42"/>
  <c r="H84" i="42"/>
  <c r="G81" i="42"/>
  <c r="H80" i="42"/>
  <c r="C81" i="42"/>
  <c r="G76" i="42"/>
  <c r="F78" i="42"/>
  <c r="E78" i="42"/>
  <c r="H78" i="42"/>
  <c r="E58" i="42"/>
  <c r="D58" i="42"/>
  <c r="C58" i="42"/>
  <c r="B60" i="42"/>
  <c r="A60" i="42"/>
  <c r="H65" i="42"/>
  <c r="G71" i="42"/>
  <c r="G57" i="42"/>
  <c r="F67" i="42"/>
  <c r="H73" i="42"/>
  <c r="E59" i="42"/>
  <c r="D67" i="42"/>
  <c r="B73" i="42"/>
  <c r="C61" i="42"/>
  <c r="B69" i="42"/>
  <c r="D75" i="42"/>
  <c r="A61" i="42"/>
  <c r="A16" i="42"/>
  <c r="H49" i="42"/>
  <c r="H41" i="42"/>
  <c r="H33" i="42"/>
  <c r="H25" i="42"/>
  <c r="H17" i="42"/>
  <c r="D56" i="42"/>
  <c r="D45" i="42"/>
  <c r="H34" i="42"/>
  <c r="D24" i="42"/>
  <c r="F50" i="42"/>
  <c r="B50" i="42"/>
  <c r="F42" i="42"/>
  <c r="A32" i="42"/>
  <c r="C21" i="42"/>
  <c r="A51" i="42"/>
  <c r="G39" i="42"/>
  <c r="B29" i="42"/>
  <c r="C48" i="42"/>
  <c r="F37" i="42"/>
  <c r="A27" i="42"/>
  <c r="D16" i="42"/>
  <c r="E45" i="42"/>
  <c r="G34" i="42"/>
  <c r="B24" i="42"/>
  <c r="C14" i="42"/>
  <c r="H52" i="42"/>
  <c r="D42" i="42"/>
  <c r="D31" i="42"/>
  <c r="H20" i="42"/>
  <c r="A55" i="42"/>
  <c r="C47" i="42"/>
  <c r="F36" i="42"/>
  <c r="A26" i="42"/>
  <c r="F15" i="42"/>
  <c r="E44" i="42"/>
  <c r="G33" i="42"/>
  <c r="B23" i="42"/>
  <c r="C42" i="42"/>
  <c r="F31" i="42"/>
  <c r="A21" i="42"/>
  <c r="E47" i="42"/>
  <c r="G36" i="42"/>
  <c r="B26" i="42"/>
  <c r="G15" i="42"/>
  <c r="H54" i="42"/>
  <c r="D44" i="42"/>
  <c r="D33" i="42"/>
  <c r="H22" i="42"/>
  <c r="F52" i="42"/>
  <c r="E51" i="42"/>
  <c r="A44" i="42"/>
  <c r="C33" i="42"/>
  <c r="F22" i="42"/>
  <c r="G53" i="42"/>
  <c r="B41" i="42"/>
  <c r="E30" i="42"/>
  <c r="F49" i="42"/>
  <c r="A39" i="42"/>
  <c r="C28" i="42"/>
  <c r="F17" i="42"/>
  <c r="G46" i="42"/>
  <c r="B36" i="42"/>
  <c r="E25" i="42"/>
  <c r="C15" i="42"/>
  <c r="A14" i="42"/>
  <c r="D51" i="42"/>
  <c r="H40" i="42"/>
  <c r="D30" i="42"/>
  <c r="D19" i="42"/>
  <c r="C56" i="42"/>
  <c r="G50" i="42"/>
  <c r="C43" i="42"/>
  <c r="F32" i="42"/>
  <c r="A22" i="42"/>
  <c r="C52" i="42"/>
  <c r="E40" i="42"/>
  <c r="G29" i="42"/>
  <c r="A49" i="42"/>
  <c r="C38" i="42"/>
  <c r="F27" i="42"/>
  <c r="A17" i="42"/>
  <c r="B46" i="42"/>
  <c r="E35" i="42"/>
  <c r="G24" i="42"/>
  <c r="G14" i="42"/>
  <c r="A79" i="42"/>
  <c r="D95" i="42"/>
  <c r="G100" i="42"/>
  <c r="F109" i="42"/>
  <c r="E115" i="42"/>
  <c r="E93" i="42"/>
  <c r="H100" i="42"/>
  <c r="C106" i="42"/>
  <c r="B113" i="42"/>
  <c r="B93" i="42"/>
  <c r="A99" i="42"/>
  <c r="D104" i="42"/>
  <c r="G113" i="42"/>
  <c r="G91" i="42"/>
  <c r="F96" i="42"/>
  <c r="E104" i="42"/>
  <c r="H111" i="42"/>
  <c r="H89" i="42"/>
  <c r="C97" i="42"/>
  <c r="B102" i="42"/>
  <c r="A108" i="42"/>
  <c r="A88" i="42"/>
  <c r="G84" i="42"/>
  <c r="C80" i="42"/>
  <c r="G86" i="42"/>
  <c r="G79" i="42"/>
  <c r="F84" i="42"/>
  <c r="C79" i="42"/>
  <c r="G74" i="42"/>
  <c r="F74" i="42"/>
  <c r="E76" i="42"/>
  <c r="H76" i="42"/>
  <c r="C76" i="42"/>
  <c r="B78" i="42"/>
  <c r="A78" i="42"/>
  <c r="D78" i="42"/>
  <c r="A58" i="42"/>
  <c r="H59" i="42"/>
  <c r="G69" i="42"/>
  <c r="E77" i="42"/>
  <c r="F61" i="42"/>
  <c r="E69" i="42"/>
  <c r="E57" i="42"/>
  <c r="D63" i="42"/>
  <c r="C71" i="42"/>
  <c r="C57" i="42"/>
  <c r="B63" i="42"/>
  <c r="D73" i="42"/>
  <c r="A59" i="42"/>
  <c r="D109" i="42"/>
  <c r="G114" i="42"/>
  <c r="G92" i="42"/>
  <c r="F101" i="42"/>
  <c r="E107" i="42"/>
  <c r="H112" i="42"/>
  <c r="H92" i="42"/>
  <c r="C98" i="42"/>
  <c r="B105" i="42"/>
  <c r="A113" i="42"/>
  <c r="A91" i="42"/>
  <c r="D96" i="42"/>
  <c r="G105" i="42"/>
  <c r="F110" i="42"/>
  <c r="F88" i="42"/>
  <c r="E96" i="42"/>
  <c r="H103" i="42"/>
  <c r="C109" i="42"/>
  <c r="C89" i="42"/>
  <c r="B94" i="42"/>
  <c r="A100" i="42"/>
  <c r="B87" i="42"/>
  <c r="D86" i="42"/>
  <c r="B80" i="42"/>
  <c r="H85" i="42"/>
  <c r="F79" i="42"/>
  <c r="D83" i="42"/>
  <c r="B79" i="42"/>
  <c r="H66" i="42"/>
  <c r="G66" i="42"/>
  <c r="F68" i="42"/>
  <c r="E68" i="42"/>
  <c r="D68" i="42"/>
  <c r="C70" i="42"/>
  <c r="B70" i="42"/>
  <c r="A70" i="42"/>
  <c r="H71" i="42"/>
  <c r="H57" i="42"/>
  <c r="G65" i="42"/>
  <c r="F71" i="42"/>
  <c r="F59" i="42"/>
  <c r="E67" i="42"/>
  <c r="C73" i="42"/>
  <c r="D59" i="42"/>
  <c r="C69" i="42"/>
  <c r="A75" i="42"/>
  <c r="B61" i="42"/>
  <c r="A69" i="42"/>
  <c r="H53" i="42"/>
  <c r="H45" i="42"/>
  <c r="H37" i="42"/>
  <c r="H29" i="42"/>
  <c r="H21" i="42"/>
  <c r="A52" i="42"/>
  <c r="H50" i="42"/>
  <c r="D40" i="42"/>
  <c r="D29" i="42"/>
  <c r="H18" i="42"/>
  <c r="E55" i="42"/>
  <c r="A48" i="42"/>
  <c r="C37" i="42"/>
  <c r="F26" i="42"/>
  <c r="B16" i="42"/>
  <c r="B45" i="42"/>
  <c r="E34" i="42"/>
  <c r="G23" i="42"/>
  <c r="A43" i="42"/>
  <c r="C32" i="42"/>
  <c r="F21" i="42"/>
  <c r="F51" i="42"/>
  <c r="B40" i="42"/>
  <c r="E29" i="42"/>
  <c r="G18" i="42"/>
  <c r="G19" i="42"/>
  <c r="D47" i="42"/>
  <c r="H36" i="42"/>
  <c r="D26" i="42"/>
  <c r="F56" i="42"/>
  <c r="B52" i="42"/>
  <c r="A42" i="42"/>
  <c r="C31" i="42"/>
  <c r="F20" i="42"/>
  <c r="G49" i="42"/>
  <c r="B39" i="42"/>
  <c r="E28" i="42"/>
  <c r="F47" i="42"/>
  <c r="A37" i="42"/>
  <c r="C26" i="42"/>
  <c r="H15" i="42"/>
  <c r="B42" i="42"/>
  <c r="E31" i="42"/>
  <c r="G20" i="42"/>
  <c r="E22" i="42"/>
  <c r="D49" i="42"/>
  <c r="H38" i="42"/>
  <c r="D28" i="42"/>
  <c r="D17" i="42"/>
  <c r="G56" i="42"/>
  <c r="C49" i="42"/>
  <c r="F38" i="42"/>
  <c r="A28" i="42"/>
  <c r="C17" i="42"/>
  <c r="E46" i="42"/>
  <c r="G35" i="42"/>
  <c r="B25" i="42"/>
  <c r="C44" i="42"/>
  <c r="F33" i="42"/>
  <c r="A23" i="42"/>
  <c r="B55" i="42"/>
  <c r="E41" i="42"/>
  <c r="G30" i="42"/>
  <c r="B20" i="42"/>
  <c r="A15" i="42"/>
  <c r="H56" i="42"/>
  <c r="D46" i="42"/>
  <c r="D35" i="42"/>
  <c r="H24" i="42"/>
  <c r="C55" i="42"/>
  <c r="B56" i="42"/>
  <c r="F48" i="42"/>
  <c r="A38" i="42"/>
  <c r="C27" i="42"/>
  <c r="F16" i="42"/>
  <c r="G45" i="42"/>
  <c r="B35" i="42"/>
  <c r="E24" i="42"/>
  <c r="F43" i="42"/>
  <c r="A33" i="42"/>
  <c r="C22" i="42"/>
  <c r="A53" i="42"/>
  <c r="G40" i="42"/>
  <c r="B30" i="42"/>
  <c r="E19" i="42"/>
  <c r="B17" i="42"/>
  <c r="H47" i="42"/>
  <c r="H31" i="42"/>
  <c r="F54" i="42"/>
  <c r="H42" i="42"/>
  <c r="D21" i="42"/>
  <c r="B51" i="42"/>
  <c r="C29" i="42"/>
  <c r="G47" i="42"/>
  <c r="E26" i="42"/>
  <c r="A35" i="42"/>
  <c r="D14" i="42"/>
  <c r="B32" i="42"/>
  <c r="B19" i="42"/>
  <c r="D39" i="42"/>
  <c r="D18" i="42"/>
  <c r="F44" i="42"/>
  <c r="C23" i="42"/>
  <c r="G41" i="42"/>
  <c r="E50" i="42"/>
  <c r="A29" i="42"/>
  <c r="G44" i="42"/>
  <c r="E23" i="42"/>
  <c r="D52" i="42"/>
  <c r="H30" i="42"/>
  <c r="C54" i="42"/>
  <c r="C41" i="42"/>
  <c r="A20" i="42"/>
  <c r="E38" i="42"/>
  <c r="A47" i="42"/>
  <c r="F25" i="42"/>
  <c r="B44" i="42"/>
  <c r="G22" i="42"/>
  <c r="D38" i="42"/>
  <c r="H16" i="42"/>
  <c r="E52" i="42"/>
  <c r="A30" i="42"/>
  <c r="E48" i="42"/>
  <c r="B27" i="42"/>
  <c r="F35" i="42"/>
  <c r="H14" i="42"/>
  <c r="G32" i="42"/>
  <c r="E16" i="42"/>
  <c r="H43" i="42"/>
  <c r="H27" i="42"/>
  <c r="E18" i="42"/>
  <c r="D37" i="42"/>
  <c r="A54" i="42"/>
  <c r="C45" i="42"/>
  <c r="A24" i="42"/>
  <c r="E42" i="42"/>
  <c r="G51" i="42"/>
  <c r="F29" i="42"/>
  <c r="B48" i="42"/>
  <c r="G26" i="42"/>
  <c r="D55" i="42"/>
  <c r="D34" i="42"/>
  <c r="C53" i="42"/>
  <c r="C39" i="42"/>
  <c r="A18" i="42"/>
  <c r="E36" i="42"/>
  <c r="A45" i="42"/>
  <c r="F23" i="42"/>
  <c r="E39" i="42"/>
  <c r="B18" i="42"/>
  <c r="H46" i="42"/>
  <c r="D25" i="42"/>
  <c r="B54" i="42"/>
  <c r="A36" i="42"/>
  <c r="B15" i="42"/>
  <c r="B33" i="42"/>
  <c r="F41" i="42"/>
  <c r="C20" i="42"/>
  <c r="G38" i="42"/>
  <c r="E17" i="42"/>
  <c r="D54" i="42"/>
  <c r="H32" i="42"/>
  <c r="C51" i="42"/>
  <c r="A46" i="42"/>
  <c r="F24" i="42"/>
  <c r="B43" i="42"/>
  <c r="B53" i="42"/>
  <c r="C30" i="42"/>
  <c r="G48" i="42"/>
  <c r="E27" i="42"/>
  <c r="E20" i="42"/>
  <c r="H55" i="42"/>
  <c r="H39" i="42"/>
  <c r="H23" i="42"/>
  <c r="D53" i="42"/>
  <c r="D32" i="42"/>
  <c r="F55" i="42"/>
  <c r="A40" i="42"/>
  <c r="F18" i="42"/>
  <c r="B37" i="42"/>
  <c r="F45" i="42"/>
  <c r="C24" i="42"/>
  <c r="G42" i="42"/>
  <c r="E21" i="42"/>
  <c r="D50" i="42"/>
  <c r="H28" i="42"/>
  <c r="G54" i="42"/>
  <c r="A34" i="42"/>
  <c r="E56" i="42"/>
  <c r="B31" i="42"/>
  <c r="F39" i="42"/>
  <c r="C18" i="42"/>
  <c r="B34" i="42"/>
  <c r="G21" i="42"/>
  <c r="D41" i="42"/>
  <c r="D20" i="42"/>
  <c r="E54" i="42"/>
  <c r="F30" i="42"/>
  <c r="B49" i="42"/>
  <c r="G27" i="42"/>
  <c r="C36" i="42"/>
  <c r="D15" i="42"/>
  <c r="E33" i="42"/>
  <c r="E14" i="42"/>
  <c r="H48" i="42"/>
  <c r="D27" i="42"/>
  <c r="F53" i="42"/>
  <c r="F40" i="42"/>
  <c r="C19" i="42"/>
  <c r="G37" i="42"/>
  <c r="C46" i="42"/>
  <c r="A25" i="42"/>
  <c r="E43" i="42"/>
  <c r="B22" i="42"/>
  <c r="B21" i="42"/>
  <c r="H51" i="42"/>
  <c r="H35" i="42"/>
  <c r="H19" i="42"/>
  <c r="D48" i="42"/>
  <c r="H26" i="42"/>
  <c r="G52" i="42"/>
  <c r="F34" i="42"/>
  <c r="B14" i="42"/>
  <c r="G31" i="42"/>
  <c r="C40" i="42"/>
  <c r="A19" i="42"/>
  <c r="E37" i="42"/>
  <c r="C16" i="42"/>
  <c r="H44" i="42"/>
  <c r="D23" i="42"/>
  <c r="A50" i="42"/>
  <c r="F28" i="42"/>
  <c r="B47" i="42"/>
  <c r="G25" i="42"/>
  <c r="C34" i="42"/>
  <c r="C50" i="42"/>
  <c r="G28" i="42"/>
  <c r="E15" i="42"/>
  <c r="D36" i="42"/>
  <c r="A56" i="42"/>
  <c r="F46" i="42"/>
  <c r="C25" i="42"/>
  <c r="G43" i="42"/>
  <c r="G55" i="42"/>
  <c r="A31" i="42"/>
  <c r="E49" i="42"/>
  <c r="B28" i="42"/>
  <c r="G17" i="42"/>
  <c r="D43" i="42"/>
  <c r="D22" i="42"/>
  <c r="E53" i="42"/>
  <c r="C35" i="42"/>
  <c r="F14" i="42"/>
  <c r="E32" i="42"/>
  <c r="A41" i="42"/>
  <c r="F19" i="42"/>
  <c r="B38" i="42"/>
  <c r="G16" i="42"/>
  <c r="F30" i="43"/>
  <c r="A93" i="43"/>
  <c r="H93" i="43" s="1"/>
  <c r="G91" i="43"/>
  <c r="G92" i="43"/>
  <c r="B92" i="43"/>
  <c r="B93" i="43"/>
  <c r="C50" i="43"/>
  <c r="A57" i="43"/>
  <c r="A21" i="43"/>
  <c r="C52" i="43"/>
  <c r="A31" i="43"/>
  <c r="A73" i="43"/>
  <c r="A64" i="43"/>
  <c r="G37" i="43"/>
  <c r="G35" i="43"/>
  <c r="B64" i="43"/>
  <c r="B31" i="43"/>
  <c r="E60" i="43"/>
  <c r="F17" i="43"/>
  <c r="C85" i="43"/>
  <c r="C76" i="43"/>
  <c r="G71" i="43"/>
  <c r="B65" i="43"/>
  <c r="E14" i="43"/>
  <c r="A44" i="43"/>
  <c r="A53" i="43"/>
  <c r="A79" i="43"/>
  <c r="D41" i="43"/>
  <c r="A68" i="43"/>
  <c r="F44" i="43"/>
  <c r="E86" i="43"/>
  <c r="G17" i="43"/>
  <c r="A28" i="43"/>
  <c r="A37" i="43"/>
  <c r="A63" i="43"/>
  <c r="D25" i="43"/>
  <c r="A89" i="43"/>
  <c r="A80" i="43"/>
  <c r="E70" i="43"/>
  <c r="E33" i="43"/>
  <c r="G61" i="43"/>
  <c r="G28" i="43"/>
  <c r="C58" i="43"/>
  <c r="D15" i="43"/>
  <c r="C81" i="43"/>
  <c r="A74" i="43"/>
  <c r="F18" i="43"/>
  <c r="F92" i="43"/>
  <c r="B91" i="43"/>
  <c r="C93" i="43"/>
  <c r="F91" i="43"/>
  <c r="F13" i="43"/>
  <c r="E48" i="43"/>
  <c r="B49" i="43"/>
  <c r="G42" i="43"/>
  <c r="E72" i="43"/>
  <c r="B60" i="43"/>
  <c r="D87" i="43"/>
  <c r="G31" i="43"/>
  <c r="D32" i="43"/>
  <c r="D28" i="43"/>
  <c r="G84" i="43"/>
  <c r="D75" i="43"/>
  <c r="E65" i="43"/>
  <c r="D53" i="43"/>
  <c r="F51" i="43"/>
  <c r="F47" i="43"/>
  <c r="F72" i="43"/>
  <c r="A59" i="43"/>
  <c r="A87" i="43"/>
  <c r="D37" i="43"/>
  <c r="F35" i="43"/>
  <c r="F31" i="43"/>
  <c r="D46" i="43"/>
  <c r="G80" i="43"/>
  <c r="A76" i="43"/>
  <c r="G22" i="43"/>
  <c r="G18" i="43"/>
  <c r="D19" i="43"/>
  <c r="A52" i="43"/>
  <c r="B82" i="43"/>
  <c r="A70" i="43"/>
  <c r="C63" i="43"/>
  <c r="C34" i="43"/>
  <c r="A41" i="43"/>
  <c r="E71" i="43"/>
  <c r="C36" i="43"/>
  <c r="A15" i="43"/>
  <c r="E47" i="43"/>
  <c r="A85" i="43"/>
  <c r="E80" i="43"/>
  <c r="A29" i="43"/>
  <c r="F48" i="43"/>
  <c r="C24" i="43"/>
  <c r="F53" i="43"/>
  <c r="B58" i="43"/>
  <c r="G81" i="43"/>
  <c r="D69" i="43"/>
  <c r="A65" i="43"/>
  <c r="F52" i="43"/>
  <c r="C29" i="43"/>
  <c r="B37" i="43"/>
  <c r="B46" i="43"/>
  <c r="B72" i="43"/>
  <c r="E34" i="43"/>
  <c r="A61" i="43"/>
  <c r="D86" i="43"/>
  <c r="F79" i="43"/>
  <c r="A32" i="43"/>
  <c r="F38" i="43"/>
  <c r="C69" i="43"/>
  <c r="A34" i="43"/>
  <c r="B61" i="43"/>
  <c r="F36" i="43"/>
  <c r="C82" i="43"/>
  <c r="G72" i="43"/>
  <c r="B54" i="43"/>
  <c r="D82" i="43"/>
  <c r="D49" i="43"/>
  <c r="D30" i="43"/>
  <c r="A36" i="43"/>
  <c r="E66" i="43"/>
  <c r="G49" i="43"/>
  <c r="B90" i="43"/>
  <c r="D83" i="43"/>
  <c r="B35" i="43"/>
  <c r="G13" i="43"/>
  <c r="C26" i="43"/>
  <c r="A20" i="43"/>
  <c r="E87" i="43"/>
  <c r="E78" i="43"/>
  <c r="B74" i="43"/>
  <c r="D67" i="43"/>
  <c r="G16" i="43"/>
  <c r="C46" i="43"/>
  <c r="C55" i="43"/>
  <c r="F14" i="43"/>
  <c r="A75" i="43"/>
  <c r="E62" i="43"/>
  <c r="B52" i="43"/>
  <c r="D88" i="43"/>
  <c r="B41" i="43"/>
  <c r="G47" i="43"/>
  <c r="D78" i="43"/>
  <c r="B43" i="43"/>
  <c r="G21" i="43"/>
  <c r="G63" i="43"/>
  <c r="A39" i="43"/>
  <c r="F89" i="43"/>
  <c r="A16" i="43"/>
  <c r="D20" i="43"/>
  <c r="E58" i="43"/>
  <c r="A18" i="43"/>
  <c r="B45" i="43"/>
  <c r="F75" i="43"/>
  <c r="F66" i="43"/>
  <c r="C62" i="43"/>
  <c r="A84" i="43"/>
  <c r="C44" i="43"/>
  <c r="C25" i="43"/>
  <c r="D35" i="43"/>
  <c r="G39" i="43"/>
  <c r="E63" i="43"/>
  <c r="B88" i="43"/>
  <c r="F83" i="43"/>
  <c r="A77" i="43"/>
  <c r="B57" i="43"/>
  <c r="E16" i="43"/>
  <c r="G27" i="43"/>
  <c r="A35" i="43"/>
  <c r="C16" i="43"/>
  <c r="G79" i="43"/>
  <c r="G70" i="43"/>
  <c r="D61" i="43"/>
  <c r="F29" i="43"/>
  <c r="D91" i="43"/>
  <c r="E92" i="43"/>
  <c r="A91" i="43"/>
  <c r="B18" i="43"/>
  <c r="F15" i="43"/>
  <c r="C77" i="43"/>
  <c r="F60" i="43"/>
  <c r="B25" i="43"/>
  <c r="A60" i="43"/>
  <c r="C53" i="43"/>
  <c r="D84" i="43"/>
  <c r="D71" i="43"/>
  <c r="F45" i="43"/>
  <c r="B14" i="43"/>
  <c r="C38" i="43"/>
  <c r="F59" i="43"/>
  <c r="B86" i="43"/>
  <c r="D36" i="43"/>
  <c r="F16" i="43"/>
  <c r="G89" i="43"/>
  <c r="G76" i="43"/>
  <c r="B81" i="43"/>
  <c r="F57" i="43"/>
  <c r="B44" i="43"/>
  <c r="E82" i="43"/>
  <c r="E69" i="43"/>
  <c r="E88" i="43"/>
  <c r="C73" i="43"/>
  <c r="E41" i="43"/>
  <c r="E37" i="43"/>
  <c r="C49" i="43"/>
  <c r="E84" i="43"/>
  <c r="F74" i="43"/>
  <c r="A26" i="43"/>
  <c r="G41" i="43"/>
  <c r="G56" i="43"/>
  <c r="E50" i="43"/>
  <c r="A69" i="43"/>
  <c r="B56" i="43"/>
  <c r="G38" i="43"/>
  <c r="E27" i="43"/>
  <c r="G25" i="43"/>
  <c r="E19" i="43"/>
  <c r="D90" i="43"/>
  <c r="E85" i="43"/>
  <c r="F42" i="43"/>
  <c r="C30" i="43"/>
  <c r="G30" i="43"/>
  <c r="E24" i="43"/>
  <c r="A83" i="43"/>
  <c r="F78" i="43"/>
  <c r="E17" i="43"/>
  <c r="B50" i="43"/>
  <c r="F50" i="43"/>
  <c r="F46" i="43"/>
  <c r="B66" i="43"/>
  <c r="E35" i="43"/>
  <c r="G83" i="43"/>
  <c r="D66" i="43"/>
  <c r="F64" i="43"/>
  <c r="D60" i="43"/>
  <c r="B87" i="43"/>
  <c r="F77" i="43"/>
  <c r="G67" i="43"/>
  <c r="F55" i="43"/>
  <c r="A54" i="43"/>
  <c r="A50" i="43"/>
  <c r="B71" i="43"/>
  <c r="F61" i="43"/>
  <c r="G88" i="43"/>
  <c r="E31" i="43"/>
  <c r="G29" i="43"/>
  <c r="B28" i="43"/>
  <c r="G36" i="43"/>
  <c r="D42" i="43"/>
  <c r="G87" i="43"/>
  <c r="E52" i="43"/>
  <c r="G50" i="43"/>
  <c r="D51" i="43"/>
  <c r="C33" i="43"/>
  <c r="G74" i="43"/>
  <c r="F62" i="43"/>
  <c r="C47" i="43"/>
  <c r="C43" i="43"/>
  <c r="G43" i="43"/>
  <c r="B29" i="43"/>
  <c r="F56" i="43"/>
  <c r="E83" i="43"/>
  <c r="E76" i="43"/>
  <c r="G57" i="43"/>
  <c r="A51" i="43"/>
  <c r="G23" i="43"/>
  <c r="B84" i="43"/>
  <c r="C71" i="43"/>
  <c r="G60" i="43"/>
  <c r="C92" i="43"/>
  <c r="F93" i="43"/>
  <c r="E91" i="43"/>
  <c r="B19" i="43"/>
  <c r="C56" i="43"/>
  <c r="E53" i="43"/>
  <c r="G64" i="43"/>
  <c r="B36" i="43"/>
  <c r="G32" i="43"/>
  <c r="A24" i="43"/>
  <c r="G20" i="43"/>
  <c r="G75" i="43"/>
  <c r="G19" i="43"/>
  <c r="D52" i="43"/>
  <c r="F32" i="43"/>
  <c r="G68" i="43"/>
  <c r="A43" i="43"/>
  <c r="D40" i="43"/>
  <c r="A67" i="43"/>
  <c r="C22" i="43"/>
  <c r="B89" i="43"/>
  <c r="B70" i="43"/>
  <c r="E30" i="43"/>
  <c r="B30" i="43"/>
  <c r="E18" i="43"/>
  <c r="E73" i="43"/>
  <c r="F63" i="43"/>
  <c r="D22" i="43"/>
  <c r="A23" i="43"/>
  <c r="C21" i="43"/>
  <c r="A30" i="43"/>
  <c r="G85" i="43"/>
  <c r="A81" i="43"/>
  <c r="C18" i="43"/>
  <c r="C14" i="43"/>
  <c r="G14" i="43"/>
  <c r="D47" i="43"/>
  <c r="E77" i="43"/>
  <c r="D65" i="43"/>
  <c r="A13" i="43"/>
  <c r="G77" i="43"/>
  <c r="B76" i="43"/>
  <c r="B42" i="43"/>
  <c r="A62" i="43"/>
  <c r="E89" i="43"/>
  <c r="C79" i="43"/>
  <c r="F39" i="43"/>
  <c r="A38" i="43"/>
  <c r="C65" i="43"/>
  <c r="B40" i="43"/>
  <c r="F82" i="43"/>
  <c r="D72" i="43"/>
  <c r="G33" i="43"/>
  <c r="B32" i="43"/>
  <c r="D45" i="43"/>
  <c r="B39" i="43"/>
  <c r="E51" i="43"/>
  <c r="F84" i="43"/>
  <c r="D27" i="43"/>
  <c r="D23" i="43"/>
  <c r="D14" i="43"/>
  <c r="B23" i="43"/>
  <c r="G90" i="43"/>
  <c r="F73" i="43"/>
  <c r="F58" i="43"/>
  <c r="F54" i="43"/>
  <c r="G46" i="43"/>
  <c r="E40" i="43"/>
  <c r="C70" i="43"/>
  <c r="D50" i="43"/>
  <c r="C15" i="43"/>
  <c r="B80" i="43"/>
  <c r="D48" i="43"/>
  <c r="D44" i="43"/>
  <c r="C64" i="43"/>
  <c r="F88" i="43"/>
  <c r="E81" i="43"/>
  <c r="E39" i="43"/>
  <c r="C23" i="43"/>
  <c r="C19" i="43"/>
  <c r="E79" i="43"/>
  <c r="C66" i="43"/>
  <c r="C45" i="43"/>
  <c r="A27" i="43"/>
  <c r="E42" i="43"/>
  <c r="E38" i="43"/>
  <c r="C32" i="43"/>
  <c r="F87" i="43"/>
  <c r="G82" i="43"/>
  <c r="E20" i="43"/>
  <c r="D55" i="43"/>
  <c r="A56" i="43"/>
  <c r="F49" i="43"/>
  <c r="D79" i="43"/>
  <c r="C67" i="43"/>
  <c r="G86" i="43"/>
  <c r="F28" i="43"/>
  <c r="D92" i="43"/>
  <c r="G93" i="43"/>
  <c r="D93" i="43"/>
  <c r="A58" i="43"/>
  <c r="E57" i="43"/>
  <c r="A46" i="43"/>
  <c r="D64" i="43"/>
  <c r="F90" i="43"/>
  <c r="B21" i="43"/>
  <c r="B27" i="43"/>
  <c r="D57" i="43"/>
  <c r="C72" i="43"/>
  <c r="D56" i="43"/>
  <c r="D34" i="43"/>
  <c r="A49" i="43"/>
  <c r="D68" i="43"/>
  <c r="C41" i="43"/>
  <c r="F68" i="43"/>
  <c r="E28" i="43"/>
  <c r="G58" i="43"/>
  <c r="D80" i="43"/>
  <c r="F69" i="43"/>
  <c r="E29" i="43"/>
  <c r="G24" i="43"/>
  <c r="B55" i="43"/>
  <c r="B73" i="43"/>
  <c r="G62" i="43"/>
  <c r="A42" i="43"/>
  <c r="C40" i="43"/>
  <c r="E67" i="43"/>
  <c r="C61" i="43"/>
  <c r="D85" i="43"/>
  <c r="B75" i="43"/>
  <c r="G54" i="43"/>
  <c r="B53" i="43"/>
  <c r="C20" i="43"/>
  <c r="A14" i="43"/>
  <c r="B77" i="43"/>
  <c r="E64" i="43"/>
  <c r="E49" i="43"/>
  <c r="E45" i="43"/>
  <c r="F37" i="43"/>
  <c r="D31" i="43"/>
  <c r="E61" i="43"/>
  <c r="A86" i="43"/>
  <c r="G78" i="43"/>
  <c r="A71" i="43"/>
  <c r="C39" i="43"/>
  <c r="C35" i="43"/>
  <c r="D38" i="43"/>
  <c r="B79" i="43"/>
  <c r="A72" i="43"/>
  <c r="B51" i="43"/>
  <c r="F80" i="43"/>
  <c r="F76" i="43"/>
  <c r="D70" i="43"/>
  <c r="B48" i="43"/>
  <c r="C84" i="43"/>
  <c r="E15" i="43"/>
  <c r="D33" i="43"/>
  <c r="D29" i="43"/>
  <c r="C37" i="43"/>
  <c r="B78" i="43"/>
  <c r="C68" i="43"/>
  <c r="A48" i="43"/>
  <c r="B15" i="43"/>
  <c r="D13" i="43"/>
  <c r="F43" i="43"/>
  <c r="B62" i="43"/>
  <c r="C89" i="43"/>
  <c r="G51" i="43"/>
  <c r="D39" i="43"/>
  <c r="A40" i="43"/>
  <c r="F33" i="43"/>
  <c r="D63" i="43"/>
  <c r="C88" i="43"/>
  <c r="C90" i="43"/>
  <c r="C59" i="43"/>
  <c r="G59" i="43"/>
  <c r="G55" i="43"/>
  <c r="C75" i="43"/>
  <c r="B63" i="43"/>
  <c r="E43" i="43"/>
  <c r="E75" i="43"/>
  <c r="G73" i="43"/>
  <c r="G69" i="43"/>
  <c r="D58" i="43"/>
  <c r="C87" i="43"/>
  <c r="D77" i="43"/>
  <c r="C28" i="43"/>
  <c r="E26" i="43"/>
  <c r="E22" i="43"/>
  <c r="G52" i="43"/>
  <c r="F71" i="43"/>
  <c r="G66" i="43"/>
  <c r="A12" i="43"/>
  <c r="E93" i="43"/>
  <c r="A17" i="43"/>
  <c r="D62" i="43"/>
  <c r="E13" i="43"/>
  <c r="F85" i="43"/>
  <c r="D76" i="43"/>
  <c r="F81" i="43"/>
  <c r="B33" i="43"/>
  <c r="C74" i="43"/>
  <c r="A78" i="43"/>
  <c r="G44" i="43"/>
  <c r="B85" i="43"/>
  <c r="E55" i="43"/>
  <c r="F41" i="43"/>
  <c r="E90" i="43"/>
  <c r="E56" i="43"/>
  <c r="G15" i="43"/>
  <c r="G53" i="43"/>
  <c r="D74" i="43"/>
  <c r="D21" i="43"/>
  <c r="B67" i="43"/>
  <c r="E23" i="43"/>
  <c r="C31" i="43"/>
  <c r="C80" i="43"/>
  <c r="A92" i="43"/>
  <c r="D73" i="43"/>
  <c r="C54" i="43"/>
  <c r="E44" i="43"/>
  <c r="B16" i="43"/>
  <c r="D59" i="43"/>
  <c r="B69" i="43"/>
  <c r="G26" i="43"/>
  <c r="A25" i="43"/>
  <c r="E68" i="43"/>
  <c r="G40" i="43"/>
  <c r="B20" i="43"/>
  <c r="B83" i="43"/>
  <c r="C42" i="43"/>
  <c r="B38" i="43"/>
  <c r="F86" i="43"/>
  <c r="D16" i="43"/>
  <c r="A88" i="43"/>
  <c r="B68" i="43"/>
  <c r="A22" i="43"/>
  <c r="A47" i="43"/>
  <c r="C17" i="43"/>
  <c r="C27" i="43"/>
  <c r="F67" i="43"/>
  <c r="C12" i="43"/>
  <c r="D24" i="43"/>
  <c r="B59" i="43"/>
  <c r="C86" i="43"/>
  <c r="D26" i="43"/>
  <c r="A33" i="43"/>
  <c r="E59" i="43"/>
  <c r="A45" i="43"/>
  <c r="G45" i="43"/>
  <c r="E25" i="43"/>
  <c r="D54" i="43"/>
  <c r="G65" i="43"/>
  <c r="D18" i="43"/>
  <c r="C78" i="43"/>
  <c r="B24" i="43"/>
  <c r="B34" i="43"/>
  <c r="E74" i="43"/>
  <c r="C51" i="43"/>
  <c r="G48" i="43"/>
  <c r="F40" i="43"/>
  <c r="E54" i="43"/>
  <c r="E36" i="43"/>
  <c r="A55" i="43"/>
  <c r="B17" i="43"/>
  <c r="C60" i="43"/>
  <c r="C91" i="43"/>
  <c r="D17" i="43"/>
  <c r="C13" i="43"/>
  <c r="A66" i="43"/>
  <c r="C57" i="43"/>
  <c r="D89" i="43"/>
  <c r="B26" i="43"/>
  <c r="E32" i="43"/>
  <c r="D81" i="43"/>
  <c r="E21" i="43"/>
  <c r="E46" i="43"/>
  <c r="A90" i="43"/>
  <c r="A19" i="43"/>
  <c r="D43" i="43"/>
  <c r="F65" i="43"/>
  <c r="F34" i="43"/>
  <c r="B22" i="43"/>
  <c r="F70" i="43"/>
  <c r="B47" i="43"/>
  <c r="A82" i="43"/>
  <c r="C48" i="43"/>
  <c r="G34" i="43"/>
  <c r="C83" i="43"/>
  <c r="B13" i="43"/>
  <c r="G12" i="43"/>
  <c r="E12" i="43"/>
  <c r="B12" i="43"/>
  <c r="F12" i="43"/>
  <c r="D12" i="43"/>
  <c r="A94" i="43"/>
  <c r="H94" i="43" s="1"/>
  <c r="D94" i="43"/>
  <c r="C94" i="43"/>
  <c r="B94" i="43"/>
  <c r="F24" i="43"/>
  <c r="F27" i="43"/>
  <c r="F26" i="43"/>
  <c r="F25" i="43"/>
  <c r="I13" i="73"/>
  <c r="I14" i="73"/>
  <c r="A42" i="73"/>
  <c r="C45" i="73"/>
  <c r="A49" i="73"/>
  <c r="B42" i="73"/>
  <c r="D45" i="73"/>
  <c r="E45" i="73" s="1"/>
  <c r="B49" i="73"/>
  <c r="G42" i="73"/>
  <c r="F45" i="73"/>
  <c r="C49" i="73"/>
  <c r="G45" i="73"/>
  <c r="C26" i="73"/>
  <c r="D28" i="73"/>
  <c r="E28" i="73" s="1"/>
  <c r="H38" i="73"/>
  <c r="G24" i="73"/>
  <c r="B19" i="73"/>
  <c r="H31" i="73"/>
  <c r="F17" i="73"/>
  <c r="A12" i="73"/>
  <c r="G28" i="73"/>
  <c r="G31" i="73"/>
  <c r="I18" i="73"/>
  <c r="A13" i="73"/>
  <c r="F29" i="73"/>
  <c r="H17" i="73"/>
  <c r="I19" i="73"/>
  <c r="D38" i="73"/>
  <c r="E38" i="73" s="1"/>
  <c r="B24" i="73"/>
  <c r="G26" i="73"/>
  <c r="H36" i="73"/>
  <c r="I31" i="73"/>
  <c r="F26" i="73"/>
  <c r="B12" i="73"/>
  <c r="H21" i="73"/>
  <c r="B39" i="73"/>
  <c r="D24" i="73"/>
  <c r="E24" i="73" s="1"/>
  <c r="I32" i="73"/>
  <c r="F19" i="73"/>
  <c r="G20" i="73"/>
  <c r="B29" i="73"/>
  <c r="C16" i="73"/>
  <c r="D25" i="73"/>
  <c r="E25" i="73" s="1"/>
  <c r="H33" i="73"/>
  <c r="F20" i="73"/>
  <c r="I37" i="73"/>
  <c r="G15" i="73"/>
  <c r="B33" i="73"/>
  <c r="H13" i="73"/>
  <c r="H14" i="73"/>
  <c r="I16" i="73"/>
  <c r="I15" i="73"/>
  <c r="H16" i="73"/>
  <c r="H15" i="73"/>
  <c r="I24" i="73"/>
  <c r="H24" i="73"/>
  <c r="F62" i="71"/>
  <c r="H63" i="71" s="1"/>
  <c r="I15" i="71"/>
  <c r="G51" i="14"/>
  <c r="I52" i="14" s="1"/>
  <c r="I41" i="14"/>
  <c r="H41" i="14"/>
  <c r="H48" i="14"/>
  <c r="I48" i="14"/>
  <c r="I49" i="14"/>
  <c r="H49" i="14"/>
  <c r="H38" i="14"/>
  <c r="I38" i="14"/>
  <c r="C19" i="73"/>
  <c r="C11" i="73"/>
  <c r="H25" i="73"/>
  <c r="D36" i="73"/>
  <c r="E36" i="73" s="1"/>
  <c r="B38" i="73"/>
  <c r="A19" i="73"/>
  <c r="C29" i="73"/>
  <c r="G16" i="73"/>
  <c r="C12" i="73"/>
  <c r="B45" i="73"/>
  <c r="H47" i="73"/>
  <c r="B50" i="73"/>
  <c r="I50" i="73"/>
  <c r="D43" i="73"/>
  <c r="E43" i="73" s="1"/>
  <c r="F47" i="73"/>
  <c r="H41" i="73"/>
  <c r="G44" i="73"/>
  <c r="H37" i="73"/>
  <c r="D35" i="73"/>
  <c r="E35" i="73" s="1"/>
  <c r="A28" i="73"/>
  <c r="A21" i="73"/>
  <c r="H12" i="73"/>
  <c r="F35" i="73"/>
  <c r="D34" i="73"/>
  <c r="E34" i="73" s="1"/>
  <c r="D17" i="73"/>
  <c r="E17" i="73" s="1"/>
  <c r="A38" i="73"/>
  <c r="F21" i="73"/>
  <c r="B40" i="73"/>
  <c r="F11" i="73"/>
  <c r="B31" i="73"/>
  <c r="F18" i="73"/>
  <c r="H28" i="73"/>
  <c r="D30" i="73"/>
  <c r="E30" i="73" s="1"/>
  <c r="B15" i="73"/>
  <c r="C22" i="73"/>
  <c r="A24" i="73"/>
  <c r="I40" i="73"/>
  <c r="H50" i="73"/>
  <c r="D41" i="73"/>
  <c r="E41" i="73" s="1"/>
  <c r="C41" i="73"/>
  <c r="B41" i="73"/>
  <c r="F49" i="73"/>
  <c r="B43" i="73"/>
  <c r="F46" i="73"/>
  <c r="A15" i="73"/>
  <c r="H39" i="73"/>
  <c r="G40" i="73"/>
  <c r="G33" i="73"/>
  <c r="A40" i="73"/>
  <c r="B17" i="73"/>
  <c r="I11" i="73"/>
  <c r="F28" i="73"/>
  <c r="I28" i="73"/>
  <c r="D44" i="73"/>
  <c r="E44" i="73" s="1"/>
  <c r="G50" i="73"/>
  <c r="G34" i="73"/>
  <c r="H27" i="73"/>
  <c r="B28" i="73"/>
  <c r="F13" i="73"/>
  <c r="F22" i="73"/>
  <c r="F15" i="73"/>
  <c r="C15" i="73"/>
  <c r="I35" i="73"/>
  <c r="I17" i="73"/>
  <c r="I16" i="14"/>
  <c r="G21" i="68"/>
  <c r="C14" i="39"/>
  <c r="F62" i="47" l="1"/>
  <c r="H63" i="47" s="1"/>
  <c r="G62" i="47"/>
  <c r="I17" i="14"/>
  <c r="A19" i="55"/>
  <c r="B20" i="55"/>
  <c r="K18" i="60"/>
  <c r="K37" i="60"/>
  <c r="K69" i="60"/>
  <c r="K101" i="60"/>
  <c r="K40" i="60"/>
  <c r="K28" i="60"/>
  <c r="K81" i="60"/>
  <c r="K41" i="60"/>
  <c r="K73" i="60"/>
  <c r="K105" i="60"/>
  <c r="K24" i="60"/>
  <c r="K60" i="60"/>
  <c r="K113" i="60"/>
  <c r="K46" i="60"/>
  <c r="K70" i="60"/>
  <c r="K14" i="60"/>
  <c r="K119" i="60"/>
  <c r="K74" i="60"/>
  <c r="K111" i="60"/>
  <c r="K27" i="60"/>
  <c r="K10" i="60"/>
  <c r="K42" i="60"/>
  <c r="K94" i="60"/>
  <c r="K63" i="60"/>
  <c r="K16" i="60"/>
  <c r="K19" i="60"/>
  <c r="K53" i="60"/>
  <c r="K85" i="60"/>
  <c r="K8" i="60"/>
  <c r="K56" i="60"/>
  <c r="K116" i="60"/>
  <c r="K65" i="60"/>
  <c r="K25" i="60"/>
  <c r="K57" i="60"/>
  <c r="K89" i="60"/>
  <c r="K72" i="60"/>
  <c r="K44" i="60"/>
  <c r="K97" i="60"/>
  <c r="K121" i="60"/>
  <c r="K55" i="60"/>
  <c r="K91" i="60"/>
  <c r="K32" i="60"/>
  <c r="K96" i="60"/>
  <c r="K77" i="60"/>
  <c r="K76" i="60"/>
  <c r="K68" i="60"/>
  <c r="K13" i="60"/>
  <c r="K49" i="60"/>
  <c r="K75" i="60"/>
  <c r="K43" i="60"/>
  <c r="K78" i="60"/>
  <c r="K50" i="60"/>
  <c r="K107" i="60"/>
  <c r="K87" i="60"/>
  <c r="K123" i="60"/>
  <c r="K102" i="60"/>
  <c r="K115" i="60"/>
  <c r="K23" i="60"/>
  <c r="K21" i="60"/>
  <c r="K48" i="60"/>
  <c r="K117" i="60"/>
  <c r="K104" i="60"/>
  <c r="K9" i="60"/>
  <c r="K84" i="60"/>
  <c r="K61" i="60"/>
  <c r="K92" i="60"/>
  <c r="K103" i="60"/>
  <c r="K58" i="60"/>
  <c r="K30" i="60"/>
  <c r="K112" i="60"/>
  <c r="K79" i="60"/>
  <c r="K39" i="60"/>
  <c r="K90" i="60"/>
  <c r="K98" i="60"/>
  <c r="K26" i="60"/>
  <c r="K95" i="60"/>
  <c r="K15" i="60"/>
  <c r="K80" i="60"/>
  <c r="K45" i="60"/>
  <c r="K33" i="60"/>
  <c r="K52" i="60"/>
  <c r="K114" i="60"/>
  <c r="K124" i="60"/>
  <c r="K118" i="60"/>
  <c r="K51" i="60"/>
  <c r="K83" i="60"/>
  <c r="K82" i="60"/>
  <c r="K54" i="60"/>
  <c r="K110" i="60"/>
  <c r="K22" i="60"/>
  <c r="K11" i="60"/>
  <c r="K34" i="60"/>
  <c r="K106" i="60"/>
  <c r="K6" i="60"/>
  <c r="K20" i="60"/>
  <c r="K64" i="60"/>
  <c r="K29" i="60"/>
  <c r="K12" i="60"/>
  <c r="K36" i="60"/>
  <c r="K100" i="60"/>
  <c r="K93" i="60"/>
  <c r="K108" i="60"/>
  <c r="K7" i="60"/>
  <c r="K120" i="60"/>
  <c r="K71" i="60"/>
  <c r="K99" i="60"/>
  <c r="K47" i="60"/>
  <c r="K86" i="60"/>
  <c r="K62" i="60"/>
  <c r="K66" i="60"/>
  <c r="K35" i="60"/>
  <c r="K31" i="60"/>
  <c r="K67" i="60"/>
  <c r="K88" i="60"/>
  <c r="K59" i="60"/>
  <c r="K17" i="60"/>
  <c r="K38" i="60"/>
  <c r="K109" i="60"/>
  <c r="K122" i="60"/>
  <c r="B30" i="55"/>
  <c r="A29" i="55"/>
  <c r="I15" i="47"/>
  <c r="I16" i="47" s="1"/>
  <c r="I17" i="47" s="1"/>
  <c r="H15" i="47"/>
  <c r="H16" i="47" s="1"/>
  <c r="C66" i="47"/>
  <c r="E67" i="47"/>
  <c r="G3" i="47"/>
  <c r="I14" i="42"/>
  <c r="H18" i="56"/>
  <c r="I14" i="58"/>
  <c r="H15" i="71"/>
  <c r="I16" i="71" s="1"/>
  <c r="H17" i="56"/>
  <c r="G22" i="70"/>
  <c r="G38" i="70"/>
  <c r="I52" i="15"/>
  <c r="G10" i="70"/>
  <c r="H8" i="70"/>
  <c r="H41" i="15"/>
  <c r="L108" i="55"/>
  <c r="L81" i="55"/>
  <c r="L166" i="55"/>
  <c r="L153" i="55"/>
  <c r="L35" i="55"/>
  <c r="F3" i="68"/>
  <c r="G2" i="61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E5" i="58"/>
  <c r="A35" i="58"/>
  <c r="F2" i="58"/>
  <c r="F14" i="58"/>
  <c r="I36" i="58"/>
  <c r="L89" i="55"/>
  <c r="F19" i="58"/>
  <c r="F15" i="58"/>
  <c r="H32" i="58"/>
  <c r="A28" i="58"/>
  <c r="F28" i="58"/>
  <c r="F29" i="58"/>
  <c r="A29" i="58"/>
  <c r="G32" i="58"/>
  <c r="I15" i="58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H17" i="70"/>
  <c r="H15" i="70"/>
  <c r="G19" i="70"/>
  <c r="H23" i="70"/>
  <c r="G25" i="70"/>
  <c r="H20" i="15"/>
  <c r="L144" i="55"/>
  <c r="L152" i="55"/>
  <c r="G13" i="12"/>
  <c r="G28" i="15"/>
  <c r="F30" i="58"/>
  <c r="A30" i="58"/>
  <c r="I52" i="73"/>
  <c r="F95" i="43"/>
  <c r="H117" i="42"/>
  <c r="A54" i="73"/>
  <c r="D6" i="73"/>
  <c r="F2" i="73"/>
  <c r="H23" i="55"/>
  <c r="H24" i="55" s="1"/>
  <c r="L16" i="55"/>
  <c r="G13" i="70"/>
  <c r="H40" i="70"/>
  <c r="H30" i="15"/>
  <c r="F40" i="15"/>
  <c r="H39" i="15"/>
  <c r="G20" i="70"/>
  <c r="H14" i="70"/>
  <c r="I44" i="15"/>
  <c r="E45" i="15"/>
  <c r="I45" i="15" s="1"/>
  <c r="G11" i="70"/>
  <c r="G26" i="70"/>
  <c r="H6" i="70"/>
  <c r="F43" i="70"/>
  <c r="F44" i="70" s="1"/>
  <c r="E25" i="15"/>
  <c r="G24" i="15"/>
  <c r="G25" i="15" s="1"/>
  <c r="F27" i="15"/>
  <c r="H26" i="15"/>
  <c r="H27" i="15" s="1"/>
  <c r="G15" i="15"/>
  <c r="G16" i="15" s="1"/>
  <c r="E16" i="15"/>
  <c r="H12" i="15"/>
  <c r="H13" i="15" s="1"/>
  <c r="F13" i="15"/>
  <c r="E36" i="15"/>
  <c r="G35" i="15"/>
  <c r="L94" i="55"/>
  <c r="L175" i="55"/>
  <c r="L117" i="55"/>
  <c r="L70" i="55"/>
  <c r="L38" i="55"/>
  <c r="G29" i="70"/>
  <c r="H33" i="70"/>
  <c r="G34" i="70"/>
  <c r="F33" i="15"/>
  <c r="F34" i="15" s="1"/>
  <c r="H32" i="15"/>
  <c r="H33" i="15" s="1"/>
  <c r="H7" i="12"/>
  <c r="G10" i="15"/>
  <c r="G11" i="15" s="1"/>
  <c r="E11" i="15"/>
  <c r="E13" i="15"/>
  <c r="G12" i="15"/>
  <c r="G13" i="15" s="1"/>
  <c r="L10" i="55"/>
  <c r="L18" i="55"/>
  <c r="L37" i="55"/>
  <c r="L164" i="55"/>
  <c r="L130" i="55"/>
  <c r="L55" i="55"/>
  <c r="L159" i="55"/>
  <c r="L167" i="55"/>
  <c r="L53" i="55"/>
  <c r="L142" i="55"/>
  <c r="L34" i="55"/>
  <c r="L64" i="55"/>
  <c r="L49" i="55"/>
  <c r="L79" i="55"/>
  <c r="L174" i="55"/>
  <c r="J14" i="57"/>
  <c r="H14" i="57"/>
  <c r="K28" i="57"/>
  <c r="L28" i="57"/>
  <c r="H15" i="57"/>
  <c r="J15" i="57"/>
  <c r="K27" i="57"/>
  <c r="L27" i="57"/>
  <c r="H26" i="57"/>
  <c r="J26" i="57"/>
  <c r="K26" i="57"/>
  <c r="L26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I32" i="57"/>
  <c r="J28" i="57"/>
  <c r="H28" i="57"/>
  <c r="D20" i="56"/>
  <c r="A20" i="56"/>
  <c r="D22" i="56"/>
  <c r="A22" i="56"/>
  <c r="A21" i="56"/>
  <c r="D21" i="56"/>
  <c r="E132" i="42"/>
  <c r="E43" i="70"/>
  <c r="E44" i="70" s="1"/>
  <c r="G6" i="70"/>
  <c r="H9" i="70"/>
  <c r="F11" i="15"/>
  <c r="H10" i="15"/>
  <c r="H11" i="15" s="1"/>
  <c r="I54" i="15"/>
  <c r="F25" i="15"/>
  <c r="H24" i="15"/>
  <c r="H25" i="15" s="1"/>
  <c r="E38" i="15"/>
  <c r="G37" i="15"/>
  <c r="G38" i="15" s="1"/>
  <c r="I49" i="15"/>
  <c r="L30" i="55"/>
  <c r="L133" i="55"/>
  <c r="L122" i="55"/>
  <c r="G30" i="70"/>
  <c r="H11" i="12"/>
  <c r="H35" i="70"/>
  <c r="F36" i="15"/>
  <c r="H36" i="15" s="1"/>
  <c r="H35" i="15"/>
  <c r="H31" i="15"/>
  <c r="H10" i="12"/>
  <c r="G23" i="15"/>
  <c r="F21" i="15"/>
  <c r="H19" i="15"/>
  <c r="F38" i="15"/>
  <c r="H37" i="15"/>
  <c r="H38" i="15" s="1"/>
  <c r="G32" i="15"/>
  <c r="G33" i="15" s="1"/>
  <c r="E33" i="15"/>
  <c r="L119" i="55"/>
  <c r="L140" i="55"/>
  <c r="L82" i="55"/>
  <c r="L179" i="55"/>
  <c r="L68" i="55"/>
  <c r="L107" i="55"/>
  <c r="L102" i="55"/>
  <c r="L173" i="55"/>
  <c r="L86" i="55"/>
  <c r="G41" i="70"/>
  <c r="H19" i="57"/>
  <c r="J19" i="57"/>
  <c r="H30" i="57"/>
  <c r="J30" i="57"/>
  <c r="K30" i="57"/>
  <c r="L30" i="57"/>
  <c r="K29" i="57"/>
  <c r="L29" i="57"/>
  <c r="J29" i="57"/>
  <c r="H29" i="57"/>
  <c r="F31" i="56"/>
  <c r="G4" i="56"/>
  <c r="G3" i="56"/>
  <c r="D24" i="56"/>
  <c r="A24" i="56"/>
  <c r="D17" i="56"/>
  <c r="A17" i="56"/>
  <c r="A18" i="56" s="1"/>
  <c r="G99" i="43"/>
  <c r="A98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F2" i="43"/>
  <c r="I15" i="42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G17" i="70"/>
  <c r="H19" i="70"/>
  <c r="G15" i="70"/>
  <c r="H38" i="70"/>
  <c r="H7" i="70"/>
  <c r="G41" i="15"/>
  <c r="G8" i="70"/>
  <c r="H25" i="70"/>
  <c r="F43" i="15"/>
  <c r="H42" i="15"/>
  <c r="H43" i="15" s="1"/>
  <c r="E16" i="12"/>
  <c r="E17" i="12" s="1"/>
  <c r="G6" i="12"/>
  <c r="H17" i="15"/>
  <c r="F18" i="15"/>
  <c r="H15" i="15"/>
  <c r="H16" i="15" s="1"/>
  <c r="F16" i="15"/>
  <c r="G20" i="15"/>
  <c r="I53" i="15"/>
  <c r="H9" i="12"/>
  <c r="L19" i="55"/>
  <c r="L58" i="55"/>
  <c r="L40" i="55"/>
  <c r="L98" i="55"/>
  <c r="L25" i="55"/>
  <c r="H182" i="55"/>
  <c r="H183" i="55" s="1"/>
  <c r="H18" i="70"/>
  <c r="H31" i="70"/>
  <c r="G12" i="12"/>
  <c r="H36" i="70"/>
  <c r="E43" i="15"/>
  <c r="G42" i="15"/>
  <c r="L9" i="55"/>
  <c r="H14" i="55"/>
  <c r="H15" i="55" s="1"/>
  <c r="E18" i="15"/>
  <c r="G18" i="15" s="1"/>
  <c r="G17" i="15"/>
  <c r="E27" i="15"/>
  <c r="G26" i="15"/>
  <c r="G27" i="15" s="1"/>
  <c r="H28" i="15"/>
  <c r="H22" i="15"/>
  <c r="L50" i="55"/>
  <c r="L101" i="55"/>
  <c r="L137" i="55"/>
  <c r="L129" i="55"/>
  <c r="L95" i="55"/>
  <c r="L176" i="55"/>
  <c r="L154" i="55"/>
  <c r="L59" i="55"/>
  <c r="L77" i="55"/>
  <c r="L44" i="55"/>
  <c r="L110" i="55"/>
  <c r="L163" i="55"/>
  <c r="L113" i="55"/>
  <c r="L147" i="55"/>
  <c r="G14" i="12"/>
  <c r="H52" i="73"/>
  <c r="J3" i="57"/>
  <c r="J35" i="57"/>
  <c r="B34" i="57"/>
  <c r="H27" i="57"/>
  <c r="J27" i="57"/>
  <c r="J16" i="57"/>
  <c r="H16" i="57"/>
  <c r="H23" i="57"/>
  <c r="J23" i="57"/>
  <c r="H20" i="57"/>
  <c r="J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H52" i="14"/>
  <c r="H27" i="56"/>
  <c r="A25" i="56"/>
  <c r="D25" i="56"/>
  <c r="D18" i="56"/>
  <c r="D19" i="56"/>
  <c r="A19" i="56"/>
  <c r="G95" i="43"/>
  <c r="G117" i="42"/>
  <c r="I118" i="42" s="1"/>
  <c r="G2" i="42"/>
  <c r="A6" i="42"/>
  <c r="A121" i="42"/>
  <c r="I122" i="42"/>
  <c r="H17" i="14"/>
  <c r="H18" i="14" s="1"/>
  <c r="J14" i="55"/>
  <c r="J15" i="55" s="1"/>
  <c r="G24" i="70"/>
  <c r="H10" i="70"/>
  <c r="H6" i="12"/>
  <c r="F16" i="12"/>
  <c r="F17" i="12" s="1"/>
  <c r="H22" i="70"/>
  <c r="G27" i="70"/>
  <c r="L115" i="55"/>
  <c r="G23" i="70"/>
  <c r="G8" i="12"/>
  <c r="G30" i="15"/>
  <c r="G34" i="15" s="1"/>
  <c r="E34" i="15"/>
  <c r="J23" i="55"/>
  <c r="J24" i="55" s="1"/>
  <c r="H16" i="70"/>
  <c r="G12" i="70"/>
  <c r="H21" i="70"/>
  <c r="G39" i="70"/>
  <c r="I51" i="15"/>
  <c r="E21" i="15"/>
  <c r="G21" i="15" s="1"/>
  <c r="G19" i="15"/>
  <c r="L28" i="55"/>
  <c r="H14" i="15"/>
  <c r="L11" i="55"/>
  <c r="L20" i="55"/>
  <c r="I50" i="15"/>
  <c r="L32" i="55"/>
  <c r="L121" i="55"/>
  <c r="L78" i="55"/>
  <c r="H28" i="70"/>
  <c r="H13" i="12"/>
  <c r="H37" i="70"/>
  <c r="H32" i="70"/>
  <c r="L21" i="55"/>
  <c r="E40" i="15"/>
  <c r="G40" i="15" s="1"/>
  <c r="G39" i="15"/>
  <c r="H29" i="15"/>
  <c r="I47" i="15"/>
  <c r="I46" i="15"/>
  <c r="L17" i="55"/>
  <c r="L60" i="55"/>
  <c r="L170" i="55"/>
  <c r="L36" i="55"/>
  <c r="L148" i="55"/>
  <c r="L47" i="55"/>
  <c r="L90" i="55"/>
  <c r="L169" i="55"/>
  <c r="L45" i="55"/>
  <c r="L118" i="55"/>
  <c r="L116" i="55"/>
  <c r="L168" i="55"/>
  <c r="L88" i="55"/>
  <c r="L109" i="55"/>
  <c r="L155" i="55"/>
  <c r="L124" i="55"/>
  <c r="J182" i="55"/>
  <c r="J183" i="55" s="1"/>
  <c r="L75" i="55"/>
  <c r="L56" i="55"/>
  <c r="J22" i="57"/>
  <c r="H22" i="57"/>
  <c r="H24" i="57"/>
  <c r="J24" i="57"/>
  <c r="J18" i="57"/>
  <c r="H18" i="57"/>
  <c r="J21" i="57"/>
  <c r="H21" i="57"/>
  <c r="H17" i="57"/>
  <c r="J17" i="57"/>
  <c r="K25" i="57"/>
  <c r="L25" i="57"/>
  <c r="H25" i="57"/>
  <c r="J25" i="57"/>
  <c r="G32" i="57"/>
  <c r="I63" i="71"/>
  <c r="A23" i="56"/>
  <c r="D23" i="56"/>
  <c r="H17" i="47"/>
  <c r="H18" i="47" s="1"/>
  <c r="H21" i="68"/>
  <c r="F22" i="68" s="1"/>
  <c r="A29" i="56"/>
  <c r="I63" i="47" l="1"/>
  <c r="A30" i="55"/>
  <c r="B31" i="55"/>
  <c r="B21" i="55"/>
  <c r="A21" i="55" s="1"/>
  <c r="A20" i="55"/>
  <c r="H16" i="71"/>
  <c r="I17" i="71" s="1"/>
  <c r="K32" i="57"/>
  <c r="I32" i="58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I18" i="14"/>
  <c r="I19" i="14" s="1"/>
  <c r="G43" i="15"/>
  <c r="F55" i="15"/>
  <c r="H95" i="43"/>
  <c r="H96" i="43" s="1"/>
  <c r="H18" i="15"/>
  <c r="H21" i="15"/>
  <c r="E55" i="15"/>
  <c r="F57" i="15" s="1"/>
  <c r="H43" i="70"/>
  <c r="H40" i="15"/>
  <c r="I18" i="47"/>
  <c r="I19" i="47" s="1"/>
  <c r="H16" i="12"/>
  <c r="H17" i="12" s="1"/>
  <c r="G43" i="70"/>
  <c r="G44" i="70" s="1"/>
  <c r="H32" i="57"/>
  <c r="L23" i="55"/>
  <c r="L24" i="55" s="1"/>
  <c r="L14" i="55"/>
  <c r="L15" i="55" s="1"/>
  <c r="L182" i="55"/>
  <c r="L183" i="55" s="1"/>
  <c r="G16" i="12"/>
  <c r="H55" i="15"/>
  <c r="J32" i="57"/>
  <c r="G36" i="15"/>
  <c r="G55" i="15" s="1"/>
  <c r="H57" i="15" s="1"/>
  <c r="H34" i="15"/>
  <c r="G22" i="68"/>
  <c r="H17" i="71" l="1"/>
  <c r="A31" i="55"/>
  <c r="B32" i="55"/>
  <c r="I18" i="71"/>
  <c r="H18" i="71"/>
  <c r="I19" i="71" s="1"/>
  <c r="H19" i="14"/>
  <c r="I20" i="14" s="1"/>
  <c r="L32" i="57"/>
  <c r="H19" i="47"/>
  <c r="H20" i="47" s="1"/>
  <c r="H22" i="68"/>
  <c r="F23" i="68" s="1"/>
  <c r="B33" i="55" l="1"/>
  <c r="A32" i="55"/>
  <c r="H19" i="71"/>
  <c r="H20" i="71" s="1"/>
  <c r="I20" i="47"/>
  <c r="I21" i="47" s="1"/>
  <c r="H20" i="14"/>
  <c r="H21" i="14" s="1"/>
  <c r="G23" i="68"/>
  <c r="H21" i="47"/>
  <c r="H22" i="47" s="1"/>
  <c r="I20" i="71" l="1"/>
  <c r="A33" i="55"/>
  <c r="B34" i="55"/>
  <c r="I21" i="71"/>
  <c r="I21" i="14"/>
  <c r="I22" i="14" s="1"/>
  <c r="H21" i="71"/>
  <c r="H22" i="71" s="1"/>
  <c r="I22" i="47"/>
  <c r="I23" i="47" s="1"/>
  <c r="H23" i="68"/>
  <c r="F24" i="68" s="1"/>
  <c r="B35" i="55" l="1"/>
  <c r="A34" i="55"/>
  <c r="I22" i="71"/>
  <c r="I23" i="71" s="1"/>
  <c r="H22" i="14"/>
  <c r="H23" i="14" s="1"/>
  <c r="I23" i="14"/>
  <c r="I24" i="14" s="1"/>
  <c r="H23" i="47"/>
  <c r="H24" i="47" s="1"/>
  <c r="H23" i="71"/>
  <c r="G24" i="68"/>
  <c r="B36" i="55" l="1"/>
  <c r="A35" i="55"/>
  <c r="I24" i="47"/>
  <c r="I25" i="47" s="1"/>
  <c r="H24" i="14"/>
  <c r="H25" i="14" s="1"/>
  <c r="H24" i="71"/>
  <c r="I24" i="71"/>
  <c r="H24" i="68"/>
  <c r="F25" i="68" s="1"/>
  <c r="H25" i="47"/>
  <c r="H26" i="47" s="1"/>
  <c r="B37" i="55" l="1"/>
  <c r="A36" i="55"/>
  <c r="I25" i="71"/>
  <c r="I25" i="14"/>
  <c r="I26" i="14" s="1"/>
  <c r="I26" i="47"/>
  <c r="I27" i="47" s="1"/>
  <c r="H25" i="71"/>
  <c r="G25" i="68"/>
  <c r="H25" i="68" s="1"/>
  <c r="F26" i="68" s="1"/>
  <c r="B38" i="55" l="1"/>
  <c r="A37" i="55"/>
  <c r="H26" i="14"/>
  <c r="H27" i="14" s="1"/>
  <c r="H26" i="71"/>
  <c r="I26" i="71"/>
  <c r="H27" i="47"/>
  <c r="H28" i="47" s="1"/>
  <c r="G26" i="68"/>
  <c r="H26" i="68" s="1"/>
  <c r="F27" i="68" s="1"/>
  <c r="G27" i="68" s="1"/>
  <c r="B39" i="55" l="1"/>
  <c r="A38" i="55"/>
  <c r="I27" i="14"/>
  <c r="I28" i="14" s="1"/>
  <c r="I27" i="71"/>
  <c r="I28" i="47"/>
  <c r="I29" i="47" s="1"/>
  <c r="H27" i="71"/>
  <c r="H27" i="68"/>
  <c r="G29" i="68"/>
  <c r="A39" i="55" l="1"/>
  <c r="B40" i="55"/>
  <c r="H28" i="71"/>
  <c r="H29" i="47"/>
  <c r="H30" i="47" s="1"/>
  <c r="H28" i="14"/>
  <c r="H29" i="14" s="1"/>
  <c r="I28" i="71"/>
  <c r="B41" i="55" l="1"/>
  <c r="A40" i="55"/>
  <c r="I29" i="71"/>
  <c r="I29" i="14"/>
  <c r="I30" i="14" s="1"/>
  <c r="I30" i="47"/>
  <c r="I31" i="47" s="1"/>
  <c r="H29" i="71"/>
  <c r="H30" i="71" s="1"/>
  <c r="A41" i="55" l="1"/>
  <c r="B42" i="55"/>
  <c r="H30" i="14"/>
  <c r="H31" i="14" s="1"/>
  <c r="H31" i="47"/>
  <c r="H32" i="47" s="1"/>
  <c r="I30" i="71"/>
  <c r="I31" i="71" s="1"/>
  <c r="B43" i="55" l="1"/>
  <c r="A42" i="55"/>
  <c r="I31" i="14"/>
  <c r="I32" i="14" s="1"/>
  <c r="I32" i="47"/>
  <c r="I33" i="47" s="1"/>
  <c r="H31" i="71"/>
  <c r="H32" i="71" s="1"/>
  <c r="A43" i="55" l="1"/>
  <c r="B44" i="55"/>
  <c r="H32" i="14"/>
  <c r="H33" i="47"/>
  <c r="H34" i="47" s="1"/>
  <c r="I32" i="71"/>
  <c r="I33" i="71" s="1"/>
  <c r="B45" i="55" l="1"/>
  <c r="A44" i="55"/>
  <c r="I34" i="47"/>
  <c r="I35" i="47" s="1"/>
  <c r="H33" i="71"/>
  <c r="H34" i="71" s="1"/>
  <c r="A45" i="55" l="1"/>
  <c r="B46" i="55"/>
  <c r="H35" i="47"/>
  <c r="H36" i="47" s="1"/>
  <c r="I34" i="71"/>
  <c r="I35" i="71" s="1"/>
  <c r="B47" i="55" l="1"/>
  <c r="A46" i="55"/>
  <c r="I36" i="47"/>
  <c r="I37" i="47" s="1"/>
  <c r="H35" i="71"/>
  <c r="H36" i="71" s="1"/>
  <c r="A47" i="55" l="1"/>
  <c r="B48" i="55"/>
  <c r="H37" i="47"/>
  <c r="H38" i="47" s="1"/>
  <c r="I36" i="71"/>
  <c r="I37" i="71" s="1"/>
  <c r="B49" i="55" l="1"/>
  <c r="A48" i="55"/>
  <c r="I38" i="47"/>
  <c r="I39" i="47" s="1"/>
  <c r="H37" i="71"/>
  <c r="H38" i="71" s="1"/>
  <c r="A49" i="55" l="1"/>
  <c r="B50" i="55"/>
  <c r="H39" i="47"/>
  <c r="H40" i="47" s="1"/>
  <c r="I38" i="71"/>
  <c r="I39" i="71" s="1"/>
  <c r="B51" i="55" l="1"/>
  <c r="A50" i="55"/>
  <c r="I40" i="47"/>
  <c r="I41" i="47" s="1"/>
  <c r="H39" i="71"/>
  <c r="H40" i="71" s="1"/>
  <c r="A51" i="55" l="1"/>
  <c r="B52" i="55"/>
  <c r="H41" i="47"/>
  <c r="H42" i="47" s="1"/>
  <c r="I40" i="71"/>
  <c r="I41" i="71" s="1"/>
  <c r="B53" i="55" l="1"/>
  <c r="A52" i="55"/>
  <c r="I42" i="47"/>
  <c r="I43" i="47" s="1"/>
  <c r="H41" i="71"/>
  <c r="H42" i="71" s="1"/>
  <c r="A53" i="55" l="1"/>
  <c r="B54" i="55"/>
  <c r="H43" i="47"/>
  <c r="H44" i="47" s="1"/>
  <c r="I42" i="71"/>
  <c r="I43" i="71" s="1"/>
  <c r="B55" i="55" l="1"/>
  <c r="A54" i="55"/>
  <c r="I44" i="47"/>
  <c r="I45" i="47" s="1"/>
  <c r="H43" i="71"/>
  <c r="H44" i="71" s="1"/>
  <c r="A55" i="55" l="1"/>
  <c r="B56" i="55"/>
  <c r="H45" i="47"/>
  <c r="H46" i="47" s="1"/>
  <c r="I44" i="71"/>
  <c r="I45" i="71" s="1"/>
  <c r="B57" i="55" l="1"/>
  <c r="A56" i="55"/>
  <c r="I46" i="47"/>
  <c r="I47" i="47" s="1"/>
  <c r="H45" i="71"/>
  <c r="H46" i="71" s="1"/>
  <c r="A57" i="55" l="1"/>
  <c r="B58" i="55"/>
  <c r="H47" i="47"/>
  <c r="H48" i="47" s="1"/>
  <c r="I46" i="71"/>
  <c r="I47" i="71" s="1"/>
  <c r="B59" i="55" l="1"/>
  <c r="A58" i="55"/>
  <c r="I48" i="47"/>
  <c r="I49" i="47" s="1"/>
  <c r="H47" i="71"/>
  <c r="H48" i="71" s="1"/>
  <c r="A59" i="55" l="1"/>
  <c r="B60" i="55"/>
  <c r="H49" i="47"/>
  <c r="H50" i="47" s="1"/>
  <c r="I48" i="71"/>
  <c r="I49" i="71" s="1"/>
  <c r="B61" i="55" l="1"/>
  <c r="A60" i="55"/>
  <c r="I50" i="47"/>
  <c r="I51" i="47" s="1"/>
  <c r="H49" i="71"/>
  <c r="H50" i="71" s="1"/>
  <c r="A61" i="55" l="1"/>
  <c r="B62" i="55"/>
  <c r="H51" i="47"/>
  <c r="H52" i="47" s="1"/>
  <c r="I50" i="71"/>
  <c r="I51" i="71" s="1"/>
  <c r="B63" i="55" l="1"/>
  <c r="A62" i="55"/>
  <c r="I52" i="47"/>
  <c r="I53" i="47" s="1"/>
  <c r="H51" i="71"/>
  <c r="H52" i="71" s="1"/>
  <c r="A63" i="55" l="1"/>
  <c r="B64" i="55"/>
  <c r="H53" i="47"/>
  <c r="H54" i="47" s="1"/>
  <c r="I52" i="71"/>
  <c r="I53" i="71" s="1"/>
  <c r="B65" i="55" l="1"/>
  <c r="A64" i="55"/>
  <c r="I54" i="47"/>
  <c r="I55" i="47" s="1"/>
  <c r="H53" i="71"/>
  <c r="H54" i="71" s="1"/>
  <c r="A65" i="55" l="1"/>
  <c r="B66" i="55"/>
  <c r="H55" i="47"/>
  <c r="H56" i="47" s="1"/>
  <c r="I54" i="71"/>
  <c r="I55" i="71" s="1"/>
  <c r="B67" i="55" l="1"/>
  <c r="A66" i="55"/>
  <c r="I56" i="47"/>
  <c r="I57" i="47" s="1"/>
  <c r="H55" i="71"/>
  <c r="H56" i="71" s="1"/>
  <c r="A67" i="55" l="1"/>
  <c r="B68" i="55"/>
  <c r="H57" i="47"/>
  <c r="H58" i="47" s="1"/>
  <c r="I56" i="71"/>
  <c r="B69" i="55" l="1"/>
  <c r="A68" i="55"/>
  <c r="I58" i="47"/>
  <c r="I59" i="47" s="1"/>
  <c r="A69" i="55" l="1"/>
  <c r="B70" i="55"/>
  <c r="H59" i="47"/>
  <c r="H60" i="47" s="1"/>
  <c r="B71" i="55" l="1"/>
  <c r="A70" i="55"/>
  <c r="I60" i="47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B83" i="55" l="1"/>
  <c r="A82" i="55"/>
  <c r="A83" i="55" l="1"/>
  <c r="B84" i="55"/>
  <c r="B85" i="55" l="1"/>
  <c r="A84" i="55"/>
  <c r="A85" i="55" l="1"/>
  <c r="B86" i="55"/>
  <c r="B87" i="55" l="1"/>
  <c r="A86" i="55"/>
  <c r="A87" i="55" l="1"/>
  <c r="B88" i="55"/>
  <c r="B89" i="55" l="1"/>
  <c r="A88" i="55"/>
  <c r="A89" i="55" l="1"/>
  <c r="B90" i="55"/>
  <c r="B91" i="55" l="1"/>
  <c r="A90" i="55"/>
  <c r="A91" i="55" l="1"/>
  <c r="B92" i="55"/>
  <c r="B93" i="55" l="1"/>
  <c r="A92" i="55"/>
  <c r="A93" i="55" l="1"/>
  <c r="B94" i="55"/>
  <c r="B95" i="55" l="1"/>
  <c r="A94" i="55"/>
  <c r="A95" i="55" l="1"/>
  <c r="B96" i="55"/>
  <c r="B97" i="55" l="1"/>
  <c r="A96" i="55"/>
  <c r="A97" i="55" l="1"/>
  <c r="B98" i="55"/>
  <c r="B99" i="55" l="1"/>
  <c r="A98" i="55"/>
  <c r="A99" i="55" l="1"/>
  <c r="B100" i="55"/>
  <c r="B101" i="55" l="1"/>
  <c r="A100" i="55"/>
  <c r="A101" i="55" l="1"/>
  <c r="B102" i="55"/>
  <c r="B103" i="55" l="1"/>
  <c r="A102" i="55"/>
  <c r="A103" i="55" l="1"/>
  <c r="B104" i="55"/>
  <c r="B105" i="55" l="1"/>
  <c r="A104" i="55"/>
  <c r="A105" i="55" l="1"/>
  <c r="B106" i="55"/>
  <c r="B107" i="55" l="1"/>
  <c r="A106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A113" i="55" l="1"/>
  <c r="B114" i="55"/>
  <c r="B115" i="55" l="1"/>
  <c r="A114" i="55"/>
  <c r="A115" i="55" l="1"/>
  <c r="B116" i="55"/>
  <c r="B117" i="55" l="1"/>
  <c r="A116" i="55"/>
  <c r="A117" i="55" l="1"/>
  <c r="B118" i="55"/>
  <c r="B119" i="55" l="1"/>
  <c r="A118" i="55"/>
  <c r="A119" i="55" l="1"/>
  <c r="B120" i="55"/>
  <c r="B121" i="55" l="1"/>
  <c r="A120" i="55"/>
  <c r="A121" i="55" l="1"/>
  <c r="B122" i="55"/>
  <c r="B123" i="55" l="1"/>
  <c r="A122" i="55"/>
  <c r="A123" i="55" l="1"/>
  <c r="B124" i="55"/>
  <c r="B125" i="55" l="1"/>
  <c r="A124" i="55"/>
  <c r="A125" i="55" l="1"/>
  <c r="B126" i="55"/>
  <c r="B127" i="55" l="1"/>
  <c r="A126" i="55"/>
  <c r="A127" i="55" l="1"/>
  <c r="B128" i="55"/>
  <c r="B129" i="55" l="1"/>
  <c r="A128" i="55"/>
  <c r="A129" i="55" l="1"/>
  <c r="B130" i="55"/>
  <c r="B131" i="55" l="1"/>
  <c r="A130" i="55"/>
  <c r="A131" i="55" l="1"/>
  <c r="B132" i="55"/>
  <c r="B133" i="55" l="1"/>
  <c r="A132" i="55"/>
  <c r="A133" i="55" l="1"/>
  <c r="B134" i="55"/>
  <c r="B135" i="55" l="1"/>
  <c r="A134" i="55"/>
  <c r="A135" i="55" l="1"/>
  <c r="B136" i="55"/>
  <c r="B137" i="55" l="1"/>
  <c r="A136" i="55"/>
  <c r="A137" i="55" l="1"/>
  <c r="B138" i="55"/>
  <c r="B139" i="55" l="1"/>
  <c r="A138" i="55"/>
  <c r="A139" i="55" l="1"/>
  <c r="B140" i="55"/>
  <c r="B141" i="55" l="1"/>
  <c r="A140" i="55"/>
  <c r="A141" i="55" l="1"/>
  <c r="B142" i="55"/>
  <c r="B143" i="55" l="1"/>
  <c r="A142" i="55"/>
  <c r="A143" i="55" l="1"/>
  <c r="B144" i="55"/>
  <c r="B145" i="55" l="1"/>
  <c r="A144" i="55"/>
  <c r="A145" i="55" l="1"/>
  <c r="B146" i="55"/>
  <c r="B147" i="55" l="1"/>
  <c r="A146" i="55"/>
  <c r="A147" i="55" l="1"/>
  <c r="B148" i="55"/>
  <c r="A148" i="55" l="1"/>
  <c r="B149" i="55"/>
  <c r="A149" i="55" l="1"/>
  <c r="B150" i="55"/>
  <c r="B151" i="55" l="1"/>
  <c r="A150" i="55"/>
  <c r="A151" i="55" l="1"/>
  <c r="B152" i="55"/>
  <c r="B153" i="55" l="1"/>
  <c r="A152" i="55"/>
  <c r="A153" i="55" l="1"/>
  <c r="B154" i="55"/>
  <c r="B155" i="55" l="1"/>
  <c r="A154" i="55"/>
  <c r="A155" i="55" l="1"/>
  <c r="B156" i="55"/>
  <c r="B157" i="55" l="1"/>
  <c r="A156" i="55"/>
  <c r="A157" i="55" l="1"/>
  <c r="B158" i="55"/>
  <c r="B159" i="55" l="1"/>
  <c r="A158" i="55"/>
  <c r="A159" i="55" l="1"/>
  <c r="B160" i="55"/>
  <c r="B161" i="55" l="1"/>
  <c r="A160" i="55"/>
  <c r="A161" i="55" l="1"/>
  <c r="B162" i="55"/>
  <c r="B163" i="55" l="1"/>
  <c r="A162" i="55"/>
  <c r="A163" i="55" l="1"/>
  <c r="B164" i="55"/>
  <c r="B165" i="55" l="1"/>
  <c r="A164" i="55"/>
  <c r="A165" i="55" l="1"/>
  <c r="B166" i="55"/>
  <c r="B167" i="55" l="1"/>
  <c r="A166" i="55"/>
  <c r="A167" i="55" l="1"/>
  <c r="B168" i="55"/>
  <c r="B169" i="55" l="1"/>
  <c r="A168" i="55"/>
  <c r="A169" i="55" l="1"/>
  <c r="B170" i="55"/>
  <c r="B171" i="55" l="1"/>
  <c r="A170" i="55"/>
  <c r="A171" i="55" l="1"/>
  <c r="B172" i="55"/>
  <c r="B173" i="55" l="1"/>
  <c r="A172" i="55"/>
  <c r="A173" i="55" l="1"/>
  <c r="B174" i="55"/>
  <c r="A174" i="55" l="1"/>
  <c r="B175" i="55"/>
  <c r="A175" i="55" l="1"/>
  <c r="B176" i="55"/>
  <c r="A176" i="55" l="1"/>
  <c r="B177" i="55"/>
  <c r="A177" i="55" l="1"/>
  <c r="B178" i="55"/>
  <c r="B179" i="55" l="1"/>
  <c r="A178" i="55"/>
  <c r="A179" i="55" l="1"/>
  <c r="B180" i="55"/>
  <c r="A180" i="55" s="1"/>
</calcChain>
</file>

<file path=xl/sharedStrings.xml><?xml version="1.0" encoding="utf-8"?>
<sst xmlns="http://schemas.openxmlformats.org/spreadsheetml/2006/main" count="9795" uniqueCount="1094">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</sst>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98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4" fillId="0" borderId="0" xfId="29" applyNumberFormat="1" applyFont="1" applyAlignment="1">
      <alignment vertical="center"/>
    </xf>
    <xf numFmtId="41" fontId="6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7" fillId="0" borderId="16" xfId="90" applyNumberFormat="1" applyFont="1" applyFill="1" applyBorder="1" applyAlignment="1">
      <alignment horizontal="center" vertical="center"/>
    </xf>
    <xf numFmtId="164" fontId="77" fillId="0" borderId="16" xfId="90" quotePrefix="1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54" applyNumberFormat="1" applyFont="1" applyFill="1" applyBorder="1" applyAlignment="1">
      <alignment horizontal="left" vertical="center"/>
    </xf>
    <xf numFmtId="164" fontId="77" fillId="0" borderId="16" xfId="90" applyNumberFormat="1" applyFont="1" applyFill="1" applyBorder="1" applyAlignment="1">
      <alignment horizontal="left" vertical="center"/>
    </xf>
    <xf numFmtId="164" fontId="77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7" fillId="0" borderId="16" xfId="0" applyNumberFormat="1" applyFont="1" applyFill="1" applyBorder="1" applyAlignment="1">
      <alignment horizontal="left" vertical="center"/>
    </xf>
    <xf numFmtId="3" fontId="77" fillId="0" borderId="16" xfId="46" applyFont="1" applyBorder="1" applyAlignment="1">
      <alignment vertical="center"/>
    </xf>
    <xf numFmtId="1" fontId="77" fillId="0" borderId="16" xfId="54" quotePrefix="1" applyNumberFormat="1" applyFont="1" applyFill="1" applyBorder="1" applyAlignment="1">
      <alignment horizontal="center" vertical="center"/>
    </xf>
    <xf numFmtId="0" fontId="78" fillId="0" borderId="0" xfId="0" applyFont="1" applyFill="1"/>
    <xf numFmtId="0" fontId="77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9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1" fillId="0" borderId="16" xfId="29" applyNumberFormat="1" applyFont="1" applyBorder="1" applyAlignment="1">
      <alignment vertical="center"/>
    </xf>
    <xf numFmtId="164" fontId="81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6" fillId="0" borderId="0" xfId="52" applyFont="1" applyAlignment="1">
      <alignment horizontal="left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40" fillId="0" borderId="0" xfId="93" applyFont="1" applyAlignment="1">
      <alignment horizontal="center" vertic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" xfId="98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abSelected="1" topLeftCell="A8" zoomScale="90" zoomScaleNormal="90" workbookViewId="0">
      <pane ySplit="2" topLeftCell="A31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602" customWidth="1"/>
    <col min="2" max="2" width="36.85546875" style="602" customWidth="1"/>
    <col min="3" max="4" width="7.42578125" style="601" customWidth="1"/>
    <col min="5" max="5" width="16.140625" style="602" customWidth="1"/>
    <col min="6" max="6" width="16.85546875" style="602" customWidth="1"/>
    <col min="7" max="7" width="16.42578125" style="602" customWidth="1"/>
    <col min="8" max="8" width="16.28515625" style="602" customWidth="1"/>
    <col min="9" max="9" width="2.42578125" style="602" customWidth="1"/>
    <col min="10" max="10" width="11" style="602" customWidth="1"/>
    <col min="11" max="11" width="2.85546875" style="602" customWidth="1"/>
    <col min="12" max="12" width="11.85546875" style="602" customWidth="1"/>
    <col min="13" max="16384" width="8" style="602"/>
  </cols>
  <sheetData>
    <row r="1" spans="1:16">
      <c r="A1" s="600"/>
      <c r="B1" s="600"/>
    </row>
    <row r="2" spans="1:16">
      <c r="A2" s="600" t="str">
        <f>TH!A1</f>
        <v>Đơn vị: CÔNG TY TNHH BAO BÌ GIẤY KIM DUNG PHÁT</v>
      </c>
      <c r="B2" s="600"/>
    </row>
    <row r="3" spans="1:16">
      <c r="A3" s="602" t="str">
        <f>TH!A2</f>
        <v>Địa chỉ: Ấp Rừng Sến, xã Mỹ Hạnh Bắc, Huyện Đức Hòa, Tỉnh Long An, Việt Nam</v>
      </c>
      <c r="B3" s="600"/>
    </row>
    <row r="5" spans="1:16" ht="36" customHeight="1">
      <c r="A5" s="603"/>
      <c r="B5" s="603"/>
      <c r="C5" s="604"/>
      <c r="D5" s="631" t="s">
        <v>342</v>
      </c>
      <c r="E5" s="603"/>
      <c r="F5" s="603"/>
      <c r="G5" s="603"/>
      <c r="H5" s="603"/>
    </row>
    <row r="6" spans="1:16">
      <c r="A6" s="603"/>
      <c r="B6" s="603"/>
      <c r="C6" s="604"/>
      <c r="D6" s="605" t="s">
        <v>399</v>
      </c>
      <c r="E6" s="603"/>
      <c r="F6" s="603"/>
      <c r="G6" s="603"/>
      <c r="H6" s="603"/>
    </row>
    <row r="7" spans="1:16" ht="6.75" customHeight="1"/>
    <row r="8" spans="1:16" ht="21.75" customHeight="1">
      <c r="A8" s="798" t="s">
        <v>361</v>
      </c>
      <c r="B8" s="798" t="s">
        <v>340</v>
      </c>
      <c r="C8" s="794" t="s">
        <v>36</v>
      </c>
      <c r="D8" s="795"/>
      <c r="E8" s="794" t="s">
        <v>37</v>
      </c>
      <c r="F8" s="795"/>
      <c r="G8" s="794" t="s">
        <v>341</v>
      </c>
      <c r="H8" s="795"/>
    </row>
    <row r="9" spans="1:16" ht="21.75" customHeight="1">
      <c r="A9" s="799"/>
      <c r="B9" s="799"/>
      <c r="C9" s="606" t="s">
        <v>41</v>
      </c>
      <c r="D9" s="606" t="s">
        <v>42</v>
      </c>
      <c r="E9" s="606" t="s">
        <v>41</v>
      </c>
      <c r="F9" s="606" t="s">
        <v>42</v>
      </c>
      <c r="G9" s="606" t="s">
        <v>41</v>
      </c>
      <c r="H9" s="606" t="s">
        <v>42</v>
      </c>
    </row>
    <row r="10" spans="1:16" s="601" customFormat="1" ht="17.25" customHeight="1">
      <c r="A10" s="607" t="s">
        <v>46</v>
      </c>
      <c r="B10" s="608" t="s">
        <v>47</v>
      </c>
      <c r="C10" s="609"/>
      <c r="D10" s="609"/>
      <c r="E10" s="610">
        <f t="array" ref="E10">SUM(IF(A10=KHN,TH))</f>
        <v>3004628591</v>
      </c>
      <c r="F10" s="610">
        <f t="array" ref="F10">SUM(IF(A10=KHC,TH))</f>
        <v>943135557</v>
      </c>
      <c r="G10" s="611">
        <f>MAX(C10+E10-D10-F10,0)</f>
        <v>2061493034</v>
      </c>
      <c r="H10" s="611">
        <f>MAX(D10+F10-E10-C10,0)</f>
        <v>0</v>
      </c>
      <c r="J10" s="602"/>
      <c r="K10" s="602"/>
      <c r="L10" s="602"/>
      <c r="M10" s="602"/>
      <c r="N10" s="602"/>
      <c r="O10" s="602"/>
      <c r="P10" s="602"/>
    </row>
    <row r="11" spans="1:16" s="601" customFormat="1" ht="17.25" customHeight="1">
      <c r="A11" s="612" t="s">
        <v>16</v>
      </c>
      <c r="B11" s="612" t="s">
        <v>48</v>
      </c>
      <c r="C11" s="613">
        <f t="shared" ref="C11:H11" si="0">C10</f>
        <v>0</v>
      </c>
      <c r="D11" s="613">
        <f t="shared" si="0"/>
        <v>0</v>
      </c>
      <c r="E11" s="614">
        <f t="shared" si="0"/>
        <v>3004628591</v>
      </c>
      <c r="F11" s="614">
        <f t="shared" si="0"/>
        <v>943135557</v>
      </c>
      <c r="G11" s="613">
        <f t="shared" si="0"/>
        <v>2061493034</v>
      </c>
      <c r="H11" s="613">
        <f t="shared" si="0"/>
        <v>0</v>
      </c>
      <c r="J11" s="602"/>
      <c r="K11" s="602"/>
      <c r="L11" s="602"/>
      <c r="M11" s="602"/>
      <c r="N11" s="602"/>
      <c r="O11" s="602"/>
      <c r="P11" s="602"/>
    </row>
    <row r="12" spans="1:16" s="601" customFormat="1" ht="17.25" customHeight="1">
      <c r="A12" s="608" t="s">
        <v>24</v>
      </c>
      <c r="B12" s="608" t="s">
        <v>49</v>
      </c>
      <c r="C12" s="609"/>
      <c r="D12" s="609">
        <v>0</v>
      </c>
      <c r="E12" s="610">
        <f t="array" ref="E12">SUM(IF(A12=KHN,TH))</f>
        <v>1206463158</v>
      </c>
      <c r="F12" s="610">
        <f t="array" ref="F12">SUM(IF(A12=KHC,TH))</f>
        <v>1190333221</v>
      </c>
      <c r="G12" s="611">
        <f>MAX(C12+E12-D12-F12,0)</f>
        <v>16129937</v>
      </c>
      <c r="H12" s="611">
        <f>MAX(D12+F12-E12-C12,0)</f>
        <v>0</v>
      </c>
      <c r="K12" s="615"/>
      <c r="L12" s="615"/>
      <c r="M12" s="615"/>
    </row>
    <row r="13" spans="1:16" s="601" customFormat="1" ht="17.25" customHeight="1">
      <c r="A13" s="612" t="s">
        <v>50</v>
      </c>
      <c r="B13" s="612" t="s">
        <v>51</v>
      </c>
      <c r="C13" s="613">
        <f t="shared" ref="C13:H13" si="1">C12</f>
        <v>0</v>
      </c>
      <c r="D13" s="613">
        <f t="shared" si="1"/>
        <v>0</v>
      </c>
      <c r="E13" s="614">
        <f t="shared" si="1"/>
        <v>1206463158</v>
      </c>
      <c r="F13" s="614">
        <f t="shared" si="1"/>
        <v>1190333221</v>
      </c>
      <c r="G13" s="613">
        <f t="shared" si="1"/>
        <v>16129937</v>
      </c>
      <c r="H13" s="613">
        <f t="shared" si="1"/>
        <v>0</v>
      </c>
    </row>
    <row r="14" spans="1:16" s="601" customFormat="1" ht="17.25" customHeight="1">
      <c r="A14" s="612" t="s">
        <v>251</v>
      </c>
      <c r="B14" s="612" t="s">
        <v>263</v>
      </c>
      <c r="C14" s="613"/>
      <c r="D14" s="613"/>
      <c r="E14" s="616">
        <f t="array" ref="E14">SUM(IF(A14=KHN,TH))</f>
        <v>1908076385</v>
      </c>
      <c r="F14" s="616">
        <f t="array" ref="F14">SUM(IF(A14=KHC,TH))</f>
        <v>1494788988</v>
      </c>
      <c r="G14" s="613">
        <f>MAX(C14+E14-D14-F14,0)</f>
        <v>413287397</v>
      </c>
      <c r="H14" s="613">
        <f>MAX(D14+F14-E14-C14,0)</f>
        <v>0</v>
      </c>
    </row>
    <row r="15" spans="1:16" s="601" customFormat="1" ht="17.25" customHeight="1">
      <c r="A15" s="608" t="s">
        <v>9</v>
      </c>
      <c r="B15" s="608" t="s">
        <v>52</v>
      </c>
      <c r="C15" s="609"/>
      <c r="D15" s="609"/>
      <c r="E15" s="610">
        <f t="array" ref="E15">SUM(IF(A15=KHN,TH))</f>
        <v>294729945</v>
      </c>
      <c r="F15" s="610">
        <f t="array" ref="F15">SUM(IF(A15=KHC,TH))</f>
        <v>172771288</v>
      </c>
      <c r="G15" s="611">
        <f>MAX(C15+E15-D15-F15,0)</f>
        <v>121958657</v>
      </c>
      <c r="H15" s="611">
        <f>MAX(D15+F15-E15-C15,0)</f>
        <v>0</v>
      </c>
    </row>
    <row r="16" spans="1:16" s="601" customFormat="1" ht="17.25" customHeight="1">
      <c r="A16" s="612" t="s">
        <v>53</v>
      </c>
      <c r="B16" s="612" t="s">
        <v>54</v>
      </c>
      <c r="C16" s="613">
        <f t="shared" ref="C16:H16" si="2">C15</f>
        <v>0</v>
      </c>
      <c r="D16" s="613">
        <f t="shared" si="2"/>
        <v>0</v>
      </c>
      <c r="E16" s="614">
        <f t="shared" si="2"/>
        <v>294729945</v>
      </c>
      <c r="F16" s="614">
        <f t="shared" si="2"/>
        <v>172771288</v>
      </c>
      <c r="G16" s="613">
        <f t="shared" si="2"/>
        <v>121958657</v>
      </c>
      <c r="H16" s="613">
        <f t="shared" si="2"/>
        <v>0</v>
      </c>
    </row>
    <row r="17" spans="1:8" s="601" customFormat="1" ht="17.25" customHeight="1">
      <c r="A17" s="608" t="s">
        <v>55</v>
      </c>
      <c r="B17" s="608" t="s">
        <v>56</v>
      </c>
      <c r="C17" s="609"/>
      <c r="D17" s="609"/>
      <c r="E17" s="610">
        <f t="array" ref="E17">SUM(IF(A17=KHN,TH))</f>
        <v>11286770</v>
      </c>
      <c r="F17" s="610">
        <f t="array" ref="F17">SUM(IF(A17=KHC,TH))</f>
        <v>11286770</v>
      </c>
      <c r="G17" s="611">
        <f t="shared" ref="G17:G32" si="3">MAX(C17+E17-D17-F17,0)</f>
        <v>0</v>
      </c>
      <c r="H17" s="611">
        <f t="shared" ref="H17:H32" si="4">MAX(D17+F17-E17-C17,0)</f>
        <v>0</v>
      </c>
    </row>
    <row r="18" spans="1:8" s="601" customFormat="1" ht="17.25" customHeight="1">
      <c r="A18" s="612" t="s">
        <v>57</v>
      </c>
      <c r="B18" s="612" t="s">
        <v>58</v>
      </c>
      <c r="C18" s="613">
        <f>C17</f>
        <v>0</v>
      </c>
      <c r="D18" s="613">
        <f>D17</f>
        <v>0</v>
      </c>
      <c r="E18" s="614">
        <f>E17</f>
        <v>11286770</v>
      </c>
      <c r="F18" s="614">
        <f>F17</f>
        <v>11286770</v>
      </c>
      <c r="G18" s="613">
        <f t="shared" si="3"/>
        <v>0</v>
      </c>
      <c r="H18" s="613">
        <f t="shared" si="4"/>
        <v>0</v>
      </c>
    </row>
    <row r="19" spans="1:8" s="601" customFormat="1" ht="17.25" customHeight="1">
      <c r="A19" s="608" t="s">
        <v>153</v>
      </c>
      <c r="B19" s="608" t="s">
        <v>154</v>
      </c>
      <c r="C19" s="609"/>
      <c r="D19" s="609"/>
      <c r="E19" s="610">
        <f t="array" ref="E19">SUM(IF(A19=KHN,TH))</f>
        <v>1551048800</v>
      </c>
      <c r="F19" s="610">
        <f t="array" ref="F19">SUM(IF(A19=KHC,TH))</f>
        <v>1121262800</v>
      </c>
      <c r="G19" s="611">
        <f t="shared" si="3"/>
        <v>429786000</v>
      </c>
      <c r="H19" s="611">
        <f t="shared" si="4"/>
        <v>0</v>
      </c>
    </row>
    <row r="20" spans="1:8" s="601" customFormat="1" ht="17.25" customHeight="1">
      <c r="A20" s="608" t="s">
        <v>155</v>
      </c>
      <c r="B20" s="608" t="s">
        <v>156</v>
      </c>
      <c r="C20" s="609"/>
      <c r="D20" s="609"/>
      <c r="E20" s="610">
        <f t="array" ref="E20">SUM(IF(A20=KHN,TH))</f>
        <v>246460100</v>
      </c>
      <c r="F20" s="610">
        <f t="array" ref="F20">SUM(IF(A20=KHC,TH))</f>
        <v>206404100</v>
      </c>
      <c r="G20" s="609">
        <f t="shared" si="3"/>
        <v>40056000</v>
      </c>
      <c r="H20" s="609">
        <f t="shared" si="4"/>
        <v>0</v>
      </c>
    </row>
    <row r="21" spans="1:8" s="601" customFormat="1" ht="17.25" customHeight="1">
      <c r="A21" s="612" t="s">
        <v>157</v>
      </c>
      <c r="B21" s="612" t="s">
        <v>158</v>
      </c>
      <c r="C21" s="613">
        <f>C19+C20</f>
        <v>0</v>
      </c>
      <c r="D21" s="613">
        <f>D19+D20</f>
        <v>0</v>
      </c>
      <c r="E21" s="614">
        <f>E19+E20</f>
        <v>1797508900</v>
      </c>
      <c r="F21" s="614">
        <f>F19+F20</f>
        <v>1327666900</v>
      </c>
      <c r="G21" s="613">
        <f t="shared" si="3"/>
        <v>469842000</v>
      </c>
      <c r="H21" s="613">
        <f t="shared" si="4"/>
        <v>0</v>
      </c>
    </row>
    <row r="22" spans="1:8" s="601" customFormat="1" ht="17.25" customHeight="1">
      <c r="A22" s="612" t="s">
        <v>159</v>
      </c>
      <c r="B22" s="612" t="s">
        <v>160</v>
      </c>
      <c r="C22" s="613"/>
      <c r="D22" s="613">
        <v>0</v>
      </c>
      <c r="E22" s="616">
        <f t="array" ref="E22">SUM(IF(A22=KHN,TH))</f>
        <v>1444698200</v>
      </c>
      <c r="F22" s="616">
        <f t="array" ref="F22">SUM(IF(A22=KHC,TH))</f>
        <v>1444698200</v>
      </c>
      <c r="G22" s="613">
        <f t="shared" si="3"/>
        <v>0</v>
      </c>
      <c r="H22" s="613">
        <f t="shared" si="4"/>
        <v>0</v>
      </c>
    </row>
    <row r="23" spans="1:8" s="601" customFormat="1" ht="17.25" customHeight="1">
      <c r="A23" s="612" t="s">
        <v>161</v>
      </c>
      <c r="B23" s="612" t="s">
        <v>162</v>
      </c>
      <c r="C23" s="613"/>
      <c r="D23" s="613"/>
      <c r="E23" s="616">
        <f t="array" ref="E23">SUM(IF(A23=KHN,TH))</f>
        <v>1444698200</v>
      </c>
      <c r="F23" s="616">
        <f t="array" ref="F23">SUM(IF(A23=KHC,TH))</f>
        <v>1444698200</v>
      </c>
      <c r="G23" s="613">
        <f t="shared" si="3"/>
        <v>0</v>
      </c>
      <c r="H23" s="613">
        <f t="shared" si="4"/>
        <v>0</v>
      </c>
    </row>
    <row r="24" spans="1:8" s="601" customFormat="1" ht="17.25" customHeight="1">
      <c r="A24" s="617" t="s">
        <v>163</v>
      </c>
      <c r="B24" s="618" t="s">
        <v>376</v>
      </c>
      <c r="C24" s="619"/>
      <c r="D24" s="619"/>
      <c r="E24" s="610">
        <f t="array" ref="E24">SUM(IF(A24=KHN,TH))</f>
        <v>840000000</v>
      </c>
      <c r="F24" s="610">
        <f t="array" ref="F24">SUM(IF(A24=KHC,TH))</f>
        <v>0</v>
      </c>
      <c r="G24" s="619">
        <f t="shared" si="3"/>
        <v>840000000</v>
      </c>
      <c r="H24" s="619">
        <f t="shared" si="4"/>
        <v>0</v>
      </c>
    </row>
    <row r="25" spans="1:8" s="601" customFormat="1" ht="17.25" customHeight="1">
      <c r="A25" s="612" t="s">
        <v>164</v>
      </c>
      <c r="B25" s="612" t="s">
        <v>165</v>
      </c>
      <c r="C25" s="613">
        <f t="shared" ref="C25:H25" si="5">SUM(C24:C24)</f>
        <v>0</v>
      </c>
      <c r="D25" s="613">
        <f t="shared" si="5"/>
        <v>0</v>
      </c>
      <c r="E25" s="614">
        <f t="shared" si="5"/>
        <v>840000000</v>
      </c>
      <c r="F25" s="614">
        <f t="shared" si="5"/>
        <v>0</v>
      </c>
      <c r="G25" s="613">
        <f t="shared" si="5"/>
        <v>840000000</v>
      </c>
      <c r="H25" s="613">
        <f t="shared" si="5"/>
        <v>0</v>
      </c>
    </row>
    <row r="26" spans="1:8" s="601" customFormat="1" ht="17.25" customHeight="1">
      <c r="A26" s="608" t="s">
        <v>252</v>
      </c>
      <c r="B26" s="608" t="s">
        <v>260</v>
      </c>
      <c r="C26" s="609"/>
      <c r="D26" s="609"/>
      <c r="E26" s="610">
        <f t="array" ref="E26">SUM(IF(A26=KHN,TH))</f>
        <v>0</v>
      </c>
      <c r="F26" s="610">
        <f t="array" ref="F26">SUM(IF(A26=KHC,TH))</f>
        <v>26500000</v>
      </c>
      <c r="G26" s="609">
        <f>MAX(C26+E26-D26-F26,0)</f>
        <v>0</v>
      </c>
      <c r="H26" s="609">
        <f>MAX(D26+F26-E26-C26,0)</f>
        <v>26500000</v>
      </c>
    </row>
    <row r="27" spans="1:8" s="601" customFormat="1" ht="17.25" customHeight="1">
      <c r="A27" s="612" t="s">
        <v>261</v>
      </c>
      <c r="B27" s="612" t="s">
        <v>262</v>
      </c>
      <c r="C27" s="613">
        <f>C26</f>
        <v>0</v>
      </c>
      <c r="D27" s="613">
        <f t="shared" ref="D27:H27" si="6">D26</f>
        <v>0</v>
      </c>
      <c r="E27" s="614">
        <f t="shared" si="6"/>
        <v>0</v>
      </c>
      <c r="F27" s="614">
        <f t="shared" si="6"/>
        <v>26500000</v>
      </c>
      <c r="G27" s="613">
        <f t="shared" si="6"/>
        <v>0</v>
      </c>
      <c r="H27" s="613">
        <f t="shared" si="6"/>
        <v>26500000</v>
      </c>
    </row>
    <row r="28" spans="1:8" s="601" customFormat="1" ht="17.25" customHeight="1">
      <c r="A28" s="612" t="s">
        <v>8</v>
      </c>
      <c r="B28" s="612" t="s">
        <v>59</v>
      </c>
      <c r="C28" s="613"/>
      <c r="D28" s="613"/>
      <c r="E28" s="616">
        <f t="array" ref="E28">SUM(IF(A28=KHN,TH))</f>
        <v>1001806110</v>
      </c>
      <c r="F28" s="616">
        <f t="array" ref="F28">SUM(IF(A28=KHC,TH))</f>
        <v>3145459790</v>
      </c>
      <c r="G28" s="613">
        <f t="shared" si="3"/>
        <v>0</v>
      </c>
      <c r="H28" s="613">
        <f t="shared" si="4"/>
        <v>2143653680</v>
      </c>
    </row>
    <row r="29" spans="1:8" s="601" customFormat="1" ht="17.25" customHeight="1">
      <c r="A29" s="620" t="s">
        <v>350</v>
      </c>
      <c r="B29" s="608" t="s">
        <v>349</v>
      </c>
      <c r="C29" s="609"/>
      <c r="D29" s="609"/>
      <c r="E29" s="610">
        <f t="array" ref="E29">SUM(IF(A29=KHN,TH))</f>
        <v>172771288</v>
      </c>
      <c r="F29" s="610">
        <f t="array" ref="F29">SUM(IF(A29=KHC,TH))</f>
        <v>172771288</v>
      </c>
      <c r="G29" s="609">
        <f t="shared" ref="G29" si="7">MAX(C29+E29-D29-F29,0)</f>
        <v>0</v>
      </c>
      <c r="H29" s="609">
        <f t="shared" ref="H29" si="8">MAX(D29+F29-E29-C29,0)</f>
        <v>0</v>
      </c>
    </row>
    <row r="30" spans="1:8" s="601" customFormat="1" ht="17.25" customHeight="1">
      <c r="A30" s="608" t="s">
        <v>60</v>
      </c>
      <c r="B30" s="608" t="s">
        <v>61</v>
      </c>
      <c r="C30" s="609"/>
      <c r="D30" s="609"/>
      <c r="E30" s="610">
        <f t="array" ref="E30">SUM(IF(A30=KHN,TH))</f>
        <v>0</v>
      </c>
      <c r="F30" s="610">
        <f t="array" ref="F30">SUM(IF(A30=KHC,TH))</f>
        <v>0</v>
      </c>
      <c r="G30" s="609">
        <f t="shared" si="3"/>
        <v>0</v>
      </c>
      <c r="H30" s="609">
        <f t="shared" si="4"/>
        <v>0</v>
      </c>
    </row>
    <row r="31" spans="1:8" s="601" customFormat="1" ht="17.25" customHeight="1">
      <c r="A31" s="608" t="s">
        <v>258</v>
      </c>
      <c r="B31" s="608" t="s">
        <v>259</v>
      </c>
      <c r="C31" s="609"/>
      <c r="D31" s="609"/>
      <c r="E31" s="610">
        <f t="array" ref="E31">SUM(IF(A31=KHN,TH))</f>
        <v>0</v>
      </c>
      <c r="F31" s="610">
        <f t="array" ref="F31">SUM(IF(A31=KHC,TH))</f>
        <v>0</v>
      </c>
      <c r="G31" s="609">
        <f t="shared" si="3"/>
        <v>0</v>
      </c>
      <c r="H31" s="609">
        <f t="shared" si="4"/>
        <v>0</v>
      </c>
    </row>
    <row r="32" spans="1:8" s="601" customFormat="1" ht="17.25" customHeight="1">
      <c r="A32" s="620" t="s">
        <v>62</v>
      </c>
      <c r="B32" s="621" t="s">
        <v>63</v>
      </c>
      <c r="C32" s="622"/>
      <c r="D32" s="622"/>
      <c r="E32" s="623">
        <f t="array" ref="E32">SUM(IF(A32=KHN,TH))</f>
        <v>1000000</v>
      </c>
      <c r="F32" s="623">
        <f t="array" ref="F32">SUM(IF(A32=KHC,TH))</f>
        <v>1000000</v>
      </c>
      <c r="G32" s="622">
        <f t="shared" si="3"/>
        <v>0</v>
      </c>
      <c r="H32" s="622">
        <f t="shared" si="4"/>
        <v>0</v>
      </c>
    </row>
    <row r="33" spans="1:10" s="601" customFormat="1" ht="17.25" customHeight="1">
      <c r="A33" s="608" t="s">
        <v>18</v>
      </c>
      <c r="B33" s="608" t="s">
        <v>64</v>
      </c>
      <c r="C33" s="609">
        <f>C32</f>
        <v>0</v>
      </c>
      <c r="D33" s="609">
        <f t="shared" ref="D33:H33" si="9">D32</f>
        <v>0</v>
      </c>
      <c r="E33" s="610">
        <f t="shared" si="9"/>
        <v>1000000</v>
      </c>
      <c r="F33" s="610">
        <f t="shared" si="9"/>
        <v>1000000</v>
      </c>
      <c r="G33" s="609">
        <f t="shared" si="9"/>
        <v>0</v>
      </c>
      <c r="H33" s="609">
        <f t="shared" si="9"/>
        <v>0</v>
      </c>
    </row>
    <row r="34" spans="1:10" s="601" customFormat="1" ht="17.25" customHeight="1">
      <c r="A34" s="612" t="s">
        <v>65</v>
      </c>
      <c r="B34" s="612" t="s">
        <v>66</v>
      </c>
      <c r="C34" s="613">
        <f>C30+C33+C31+C29</f>
        <v>0</v>
      </c>
      <c r="D34" s="613">
        <f t="shared" ref="D34:H34" si="10">D30+D33+D31+D29</f>
        <v>0</v>
      </c>
      <c r="E34" s="614">
        <f t="shared" si="10"/>
        <v>173771288</v>
      </c>
      <c r="F34" s="614">
        <f t="shared" si="10"/>
        <v>173771288</v>
      </c>
      <c r="G34" s="613">
        <f t="shared" si="10"/>
        <v>0</v>
      </c>
      <c r="H34" s="613">
        <f t="shared" si="10"/>
        <v>0</v>
      </c>
    </row>
    <row r="35" spans="1:10" s="601" customFormat="1" ht="17.25" customHeight="1">
      <c r="A35" s="608" t="s">
        <v>254</v>
      </c>
      <c r="B35" s="608" t="s">
        <v>255</v>
      </c>
      <c r="C35" s="609">
        <v>0</v>
      </c>
      <c r="D35" s="609">
        <v>0</v>
      </c>
      <c r="E35" s="610">
        <f t="array" ref="E35">SUM(IF(A35=KHN,TH))</f>
        <v>110175000</v>
      </c>
      <c r="F35" s="610">
        <f t="array" ref="F35">SUM(IF(A35=KHC,TH))</f>
        <v>110175000</v>
      </c>
      <c r="G35" s="609">
        <f t="shared" ref="G35:G37" si="11">MAX(C35+E35-D35-F35,0)</f>
        <v>0</v>
      </c>
      <c r="H35" s="609">
        <f t="shared" ref="H35:H37" si="12">MAX(D35+F35-E35-C35,0)</f>
        <v>0</v>
      </c>
    </row>
    <row r="36" spans="1:10" s="601" customFormat="1" ht="17.25" customHeight="1">
      <c r="A36" s="612" t="s">
        <v>256</v>
      </c>
      <c r="B36" s="612" t="s">
        <v>257</v>
      </c>
      <c r="C36" s="613">
        <f>C35</f>
        <v>0</v>
      </c>
      <c r="D36" s="613">
        <f>D35</f>
        <v>0</v>
      </c>
      <c r="E36" s="614">
        <f>E35</f>
        <v>110175000</v>
      </c>
      <c r="F36" s="614">
        <f>F35</f>
        <v>110175000</v>
      </c>
      <c r="G36" s="613">
        <f t="shared" si="11"/>
        <v>0</v>
      </c>
      <c r="H36" s="613">
        <f t="shared" si="12"/>
        <v>0</v>
      </c>
    </row>
    <row r="37" spans="1:10" s="601" customFormat="1" ht="17.25" customHeight="1">
      <c r="A37" s="608" t="s">
        <v>17</v>
      </c>
      <c r="B37" s="608" t="s">
        <v>67</v>
      </c>
      <c r="C37" s="609"/>
      <c r="D37" s="609"/>
      <c r="E37" s="610">
        <f t="array" ref="E37">SUM(IF(A37=KHN,TH))</f>
        <v>0</v>
      </c>
      <c r="F37" s="610">
        <f t="array" ref="F37">SUM(IF(A37=KHC,TH))</f>
        <v>0</v>
      </c>
      <c r="G37" s="609">
        <f t="shared" si="11"/>
        <v>0</v>
      </c>
      <c r="H37" s="609">
        <f t="shared" si="12"/>
        <v>0</v>
      </c>
    </row>
    <row r="38" spans="1:10" s="601" customFormat="1" ht="17.25" customHeight="1">
      <c r="A38" s="612" t="s">
        <v>68</v>
      </c>
      <c r="B38" s="612" t="s">
        <v>69</v>
      </c>
      <c r="C38" s="613">
        <f t="shared" ref="C38:H38" si="13">SUM(C37:C37)</f>
        <v>0</v>
      </c>
      <c r="D38" s="613">
        <f t="shared" si="13"/>
        <v>0</v>
      </c>
      <c r="E38" s="614">
        <f t="shared" si="13"/>
        <v>0</v>
      </c>
      <c r="F38" s="614">
        <f t="shared" si="13"/>
        <v>0</v>
      </c>
      <c r="G38" s="613">
        <f t="shared" si="13"/>
        <v>0</v>
      </c>
      <c r="H38" s="613">
        <f t="shared" si="13"/>
        <v>0</v>
      </c>
    </row>
    <row r="39" spans="1:10" s="601" customFormat="1" ht="17.25" customHeight="1">
      <c r="A39" s="608" t="s">
        <v>25</v>
      </c>
      <c r="B39" s="608" t="s">
        <v>70</v>
      </c>
      <c r="C39" s="609"/>
      <c r="D39" s="609"/>
      <c r="E39" s="610">
        <f t="array" ref="E39">SUM(IF(A39=KHN,TH))</f>
        <v>0</v>
      </c>
      <c r="F39" s="610">
        <f t="array" ref="F39">SUM(IF(A39=KHC,TH))</f>
        <v>1800000000</v>
      </c>
      <c r="G39" s="611">
        <f>MAX(C39+E39-D39-F39,0)</f>
        <v>0</v>
      </c>
      <c r="H39" s="611">
        <f>MAX(D39+F39-E39-C39,0)</f>
        <v>1800000000</v>
      </c>
    </row>
    <row r="40" spans="1:10" s="601" customFormat="1" ht="17.25" customHeight="1">
      <c r="A40" s="612" t="s">
        <v>71</v>
      </c>
      <c r="B40" s="612" t="s">
        <v>72</v>
      </c>
      <c r="C40" s="613">
        <v>0</v>
      </c>
      <c r="D40" s="613">
        <f>D39</f>
        <v>0</v>
      </c>
      <c r="E40" s="614">
        <f>E39</f>
        <v>0</v>
      </c>
      <c r="F40" s="614">
        <f>F39</f>
        <v>1800000000</v>
      </c>
      <c r="G40" s="613">
        <f>MAX(C40+E40-D40-F40,0)</f>
        <v>0</v>
      </c>
      <c r="H40" s="613">
        <f>MAX(D40+F40-E40-C40,0)</f>
        <v>1800000000</v>
      </c>
    </row>
    <row r="41" spans="1:10" s="601" customFormat="1" ht="17.25" customHeight="1">
      <c r="A41" s="607" t="s">
        <v>73</v>
      </c>
      <c r="B41" s="608" t="s">
        <v>74</v>
      </c>
      <c r="C41" s="609"/>
      <c r="D41" s="609"/>
      <c r="E41" s="610">
        <f t="array" ref="E41">SUM(IF(A41=KHN,TH))</f>
        <v>0</v>
      </c>
      <c r="F41" s="610">
        <f t="array" ref="F41">SUM(IF(A41=KHC,TH))</f>
        <v>0</v>
      </c>
      <c r="G41" s="611">
        <f>MAX(C41+E41-D41-F41,0)</f>
        <v>0</v>
      </c>
      <c r="H41" s="611">
        <f>MAX(D41+F41-E41-C41,0)</f>
        <v>0</v>
      </c>
    </row>
    <row r="42" spans="1:10" s="601" customFormat="1" ht="17.25" customHeight="1">
      <c r="A42" s="608" t="s">
        <v>75</v>
      </c>
      <c r="B42" s="608" t="s">
        <v>76</v>
      </c>
      <c r="C42" s="609"/>
      <c r="D42" s="609"/>
      <c r="E42" s="610">
        <f t="array" ref="E42">SUM(IF(A42=TH!$L$10:$L$1396,TH!$K$10:$K$1396))</f>
        <v>47442655</v>
      </c>
      <c r="F42" s="610">
        <f t="array" ref="F42">SUM(IF(A42=TH!$M$10:$M$1396,TH!$K$10:$K$1396))</f>
        <v>0</v>
      </c>
      <c r="G42" s="609">
        <f>MAX(C42+E42-D42-F42,0)</f>
        <v>47442655</v>
      </c>
      <c r="H42" s="609">
        <f>MAX(D42+F42-E42-C42,0)</f>
        <v>0</v>
      </c>
      <c r="J42" s="453"/>
    </row>
    <row r="43" spans="1:10" s="601" customFormat="1" ht="17.25" customHeight="1">
      <c r="A43" s="612" t="s">
        <v>77</v>
      </c>
      <c r="B43" s="612" t="s">
        <v>78</v>
      </c>
      <c r="C43" s="613">
        <f t="shared" ref="C43:H43" si="14">C42+C41</f>
        <v>0</v>
      </c>
      <c r="D43" s="613">
        <f t="shared" si="14"/>
        <v>0</v>
      </c>
      <c r="E43" s="614">
        <f t="shared" si="14"/>
        <v>47442655</v>
      </c>
      <c r="F43" s="614">
        <f t="shared" si="14"/>
        <v>0</v>
      </c>
      <c r="G43" s="613">
        <f t="shared" si="14"/>
        <v>47442655</v>
      </c>
      <c r="H43" s="613">
        <f t="shared" si="14"/>
        <v>0</v>
      </c>
    </row>
    <row r="44" spans="1:10" s="601" customFormat="1" ht="17.25" customHeight="1">
      <c r="A44" s="607" t="s">
        <v>168</v>
      </c>
      <c r="B44" s="608" t="s">
        <v>169</v>
      </c>
      <c r="C44" s="609"/>
      <c r="D44" s="609"/>
      <c r="E44" s="610">
        <f t="array" ref="E44">SUM(IF(A44=KHN,TH))</f>
        <v>1727712897</v>
      </c>
      <c r="F44" s="610">
        <f t="array" ref="F44">SUM(IF(A44=KHC,TH))</f>
        <v>1727712897</v>
      </c>
      <c r="G44" s="611"/>
      <c r="H44" s="611"/>
      <c r="I44" s="601">
        <f>E44-F44</f>
        <v>0</v>
      </c>
    </row>
    <row r="45" spans="1:10" s="601" customFormat="1" ht="17.25" customHeight="1">
      <c r="A45" s="612" t="s">
        <v>170</v>
      </c>
      <c r="B45" s="612" t="s">
        <v>171</v>
      </c>
      <c r="C45" s="613"/>
      <c r="D45" s="613"/>
      <c r="E45" s="614">
        <f>E44</f>
        <v>1727712897</v>
      </c>
      <c r="F45" s="614">
        <f>F44</f>
        <v>1727712897</v>
      </c>
      <c r="G45" s="613"/>
      <c r="H45" s="613"/>
      <c r="I45" s="601">
        <f>E45-F45</f>
        <v>0</v>
      </c>
    </row>
    <row r="46" spans="1:10" s="601" customFormat="1" ht="17.25" customHeight="1">
      <c r="A46" s="612" t="s">
        <v>39</v>
      </c>
      <c r="B46" s="612" t="s">
        <v>79</v>
      </c>
      <c r="C46" s="613"/>
      <c r="D46" s="613"/>
      <c r="E46" s="616">
        <f t="array" ref="E46">SUM(IF(A46=KHN,TH))</f>
        <v>20851</v>
      </c>
      <c r="F46" s="616">
        <f t="array" ref="F46">SUM(IF(A46=KHC,TH))</f>
        <v>20851</v>
      </c>
      <c r="G46" s="613"/>
      <c r="H46" s="613"/>
      <c r="I46" s="601">
        <f t="shared" ref="I46:I54" si="15">E46-F46</f>
        <v>0</v>
      </c>
    </row>
    <row r="47" spans="1:10" s="601" customFormat="1" ht="17.25" customHeight="1">
      <c r="A47" s="612" t="s">
        <v>166</v>
      </c>
      <c r="B47" s="612" t="s">
        <v>167</v>
      </c>
      <c r="C47" s="613"/>
      <c r="D47" s="613"/>
      <c r="E47" s="616">
        <f t="array" ref="E47">SUM(IF(A47=KHN,TH))</f>
        <v>1457006900</v>
      </c>
      <c r="F47" s="616">
        <f t="array" ref="F47">SUM(IF(A47=KHC,TH))</f>
        <v>1457006900</v>
      </c>
      <c r="G47" s="613"/>
      <c r="H47" s="613"/>
      <c r="I47" s="601">
        <f t="shared" si="15"/>
        <v>0</v>
      </c>
    </row>
    <row r="48" spans="1:10" s="601" customFormat="1" ht="17.25" customHeight="1">
      <c r="A48" s="612" t="s">
        <v>80</v>
      </c>
      <c r="B48" s="612" t="s">
        <v>81</v>
      </c>
      <c r="C48" s="613"/>
      <c r="D48" s="613"/>
      <c r="E48" s="616">
        <f t="array" ref="E48">SUM(IF(A48=KHN,TH))</f>
        <v>0</v>
      </c>
      <c r="F48" s="616">
        <f t="array" ref="F48">SUM(IF(A48=KHC,TH))</f>
        <v>0</v>
      </c>
      <c r="G48" s="613"/>
      <c r="H48" s="613"/>
      <c r="I48" s="601">
        <f t="shared" si="15"/>
        <v>0</v>
      </c>
    </row>
    <row r="49" spans="1:9" s="601" customFormat="1" ht="17.25" customHeight="1">
      <c r="A49" s="624" t="s">
        <v>253</v>
      </c>
      <c r="B49" s="612" t="s">
        <v>320</v>
      </c>
      <c r="C49" s="613"/>
      <c r="D49" s="613"/>
      <c r="E49" s="616">
        <f t="array" ref="E49">SUM(IF(A49=KHN,TH))</f>
        <v>27431523</v>
      </c>
      <c r="F49" s="616">
        <f t="array" ref="F49">SUM(IF(A49=KHC,TH))</f>
        <v>27431523</v>
      </c>
      <c r="G49" s="613"/>
      <c r="H49" s="613"/>
      <c r="I49" s="601">
        <f>E49-F49</f>
        <v>0</v>
      </c>
    </row>
    <row r="50" spans="1:9" s="601" customFormat="1" ht="17.25" customHeight="1">
      <c r="A50" s="612" t="s">
        <v>82</v>
      </c>
      <c r="B50" s="612" t="s">
        <v>83</v>
      </c>
      <c r="C50" s="613"/>
      <c r="D50" s="613"/>
      <c r="E50" s="616">
        <f t="array" ref="E50">SUM(IF(A50=KHN,TH))</f>
        <v>290737980</v>
      </c>
      <c r="F50" s="616">
        <f t="array" ref="F50">SUM(IF(A50=KHC,TH))</f>
        <v>290737980</v>
      </c>
      <c r="G50" s="613"/>
      <c r="H50" s="613"/>
      <c r="I50" s="601">
        <f t="shared" si="15"/>
        <v>0</v>
      </c>
    </row>
    <row r="51" spans="1:9" s="601" customFormat="1" ht="17.25" customHeight="1">
      <c r="A51" s="624" t="s">
        <v>84</v>
      </c>
      <c r="B51" s="612" t="s">
        <v>85</v>
      </c>
      <c r="C51" s="613"/>
      <c r="D51" s="613"/>
      <c r="E51" s="616">
        <f t="array" ref="E51">SUM(IF(A51=KHN,TH))</f>
        <v>0</v>
      </c>
      <c r="F51" s="616">
        <f t="array" ref="F51">SUM(IF(A51=KHC,TH))</f>
        <v>0</v>
      </c>
      <c r="G51" s="613"/>
      <c r="H51" s="613"/>
      <c r="I51" s="601">
        <f t="shared" si="15"/>
        <v>0</v>
      </c>
    </row>
    <row r="52" spans="1:9" s="601" customFormat="1" ht="17.25" customHeight="1">
      <c r="A52" s="612" t="s">
        <v>86</v>
      </c>
      <c r="B52" s="612" t="s">
        <v>87</v>
      </c>
      <c r="C52" s="613"/>
      <c r="D52" s="613"/>
      <c r="E52" s="616">
        <f t="array" ref="E52">SUM(IF(A52=KHN,TH))</f>
        <v>0</v>
      </c>
      <c r="F52" s="616">
        <f t="array" ref="F52">SUM(IF(A52=KHC,TH))</f>
        <v>0</v>
      </c>
      <c r="G52" s="613"/>
      <c r="H52" s="613"/>
      <c r="I52" s="601">
        <f t="shared" si="15"/>
        <v>0</v>
      </c>
    </row>
    <row r="53" spans="1:9" s="601" customFormat="1" ht="17.25" customHeight="1">
      <c r="A53" s="624" t="s">
        <v>88</v>
      </c>
      <c r="B53" s="612" t="s">
        <v>89</v>
      </c>
      <c r="C53" s="613"/>
      <c r="D53" s="613"/>
      <c r="E53" s="616">
        <f t="array" ref="E53">SUM(IF(A53=KHN,TH))</f>
        <v>0</v>
      </c>
      <c r="F53" s="616">
        <f t="array" ref="F53">SUM(IF(A53=KHC,TH))</f>
        <v>0</v>
      </c>
      <c r="G53" s="613"/>
      <c r="H53" s="613"/>
      <c r="I53" s="601">
        <f t="shared" si="15"/>
        <v>0</v>
      </c>
    </row>
    <row r="54" spans="1:9" s="601" customFormat="1" ht="17.25" customHeight="1">
      <c r="A54" s="612" t="s">
        <v>90</v>
      </c>
      <c r="B54" s="612" t="s">
        <v>91</v>
      </c>
      <c r="C54" s="613"/>
      <c r="D54" s="613"/>
      <c r="E54" s="625">
        <f t="array" ref="E54">SUM(IF(A54=KHN,TH))</f>
        <v>1775176403</v>
      </c>
      <c r="F54" s="625">
        <f t="array" ref="F54">SUM(IF(A54=TH!$M$10:$M$1396,TH!$K$10:$K$1396))</f>
        <v>1775176403</v>
      </c>
      <c r="G54" s="613"/>
      <c r="H54" s="613"/>
      <c r="I54" s="601">
        <f t="shared" si="15"/>
        <v>0</v>
      </c>
    </row>
    <row r="55" spans="1:9" s="601" customFormat="1" ht="17.25" customHeight="1">
      <c r="A55" s="796" t="s">
        <v>38</v>
      </c>
      <c r="B55" s="797"/>
      <c r="C55" s="626">
        <f t="shared" ref="C55:H55" si="16">C11+C13+C14+C16+C18+C21+C22+C23+C25+C27+C28+C34+C36+C38+C40+C43+C45+C46+C47+C48+C49+C50+C51+C52+C53+C54</f>
        <v>0</v>
      </c>
      <c r="D55" s="626">
        <f t="shared" si="16"/>
        <v>0</v>
      </c>
      <c r="E55" s="627">
        <f t="shared" si="16"/>
        <v>18563371756</v>
      </c>
      <c r="F55" s="627">
        <f t="shared" si="16"/>
        <v>18563371756</v>
      </c>
      <c r="G55" s="626">
        <f t="shared" si="16"/>
        <v>3970153680</v>
      </c>
      <c r="H55" s="626">
        <f t="shared" si="16"/>
        <v>3970153680</v>
      </c>
    </row>
    <row r="56" spans="1:9">
      <c r="E56" s="628"/>
      <c r="F56" s="629"/>
    </row>
    <row r="57" spans="1:9">
      <c r="E57" s="629"/>
      <c r="F57" s="629">
        <f>E55-F55</f>
        <v>0</v>
      </c>
      <c r="H57" s="629">
        <f>G55-H55</f>
        <v>0</v>
      </c>
    </row>
    <row r="58" spans="1:9">
      <c r="E58" s="630"/>
      <c r="F58" s="630"/>
    </row>
    <row r="59" spans="1:9">
      <c r="E59" s="630"/>
      <c r="F59" s="6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400"/>
  <sheetViews>
    <sheetView topLeftCell="A7" workbookViewId="0">
      <pane ySplit="3" topLeftCell="A823" activePane="bottomLeft" state="frozen"/>
      <selection activeCell="A7" sqref="A7"/>
      <selection pane="bottomLeft" activeCell="L831" sqref="L831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7.71093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</cols>
  <sheetData>
    <row r="1" spans="1:26" ht="15">
      <c r="A1" s="1" t="s">
        <v>637</v>
      </c>
      <c r="B1" s="7"/>
      <c r="C1" s="7"/>
      <c r="D1" s="8"/>
      <c r="E1" s="8"/>
      <c r="F1" s="9"/>
      <c r="G1" s="297"/>
      <c r="H1" s="24"/>
      <c r="I1" s="24"/>
      <c r="J1" s="24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6"/>
      <c r="Z1" s="116"/>
    </row>
    <row r="2" spans="1:26" ht="15">
      <c r="A2" s="1" t="s">
        <v>636</v>
      </c>
      <c r="B2" s="7"/>
      <c r="C2" s="7"/>
      <c r="D2" s="8"/>
      <c r="E2" s="8"/>
      <c r="F2" s="8"/>
      <c r="G2" s="297"/>
      <c r="H2" s="25"/>
      <c r="I2" s="25"/>
      <c r="J2" s="25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6"/>
      <c r="Z2" s="116"/>
    </row>
    <row r="3" spans="1:26">
      <c r="A3" s="121"/>
      <c r="B3" s="8"/>
      <c r="C3" s="8"/>
      <c r="D3" s="8"/>
      <c r="E3" s="8"/>
      <c r="F3" s="8"/>
      <c r="G3" s="297"/>
      <c r="H3" s="25"/>
      <c r="I3" s="25"/>
      <c r="J3" s="2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6"/>
      <c r="Z3" s="116"/>
    </row>
    <row r="4" spans="1:26" ht="22.5">
      <c r="A4" s="121"/>
      <c r="B4" s="15"/>
      <c r="C4" s="801" t="s">
        <v>92</v>
      </c>
      <c r="D4" s="801"/>
      <c r="E4" s="801"/>
      <c r="F4" s="801"/>
      <c r="G4" s="801"/>
      <c r="H4" s="801"/>
      <c r="I4" s="801"/>
      <c r="J4" s="801"/>
      <c r="K4" s="801"/>
      <c r="L4" s="801"/>
      <c r="M4" s="801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</row>
    <row r="5" spans="1:26" ht="14.25">
      <c r="A5" s="121"/>
      <c r="B5" s="15"/>
      <c r="C5" s="802"/>
      <c r="D5" s="802"/>
      <c r="E5" s="802"/>
      <c r="F5" s="802"/>
      <c r="G5" s="802"/>
      <c r="H5" s="802"/>
      <c r="I5" s="802"/>
      <c r="J5" s="802"/>
      <c r="K5" s="802"/>
      <c r="L5" s="802"/>
      <c r="M5" s="802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</row>
    <row r="6" spans="1:26">
      <c r="A6" s="121"/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6"/>
      <c r="Z6" s="116"/>
    </row>
    <row r="7" spans="1:26" ht="24.75" customHeight="1">
      <c r="A7" s="817" t="s">
        <v>112</v>
      </c>
      <c r="B7" s="819" t="s">
        <v>97</v>
      </c>
      <c r="C7" s="803" t="s">
        <v>20</v>
      </c>
      <c r="D7" s="804" t="s">
        <v>1</v>
      </c>
      <c r="E7" s="805"/>
      <c r="F7" s="803" t="s">
        <v>0</v>
      </c>
      <c r="G7" s="807" t="s">
        <v>111</v>
      </c>
      <c r="H7" s="821" t="s">
        <v>43</v>
      </c>
      <c r="I7" s="823" t="s">
        <v>250</v>
      </c>
      <c r="J7" s="824"/>
      <c r="K7" s="803" t="s">
        <v>151</v>
      </c>
      <c r="L7" s="806" t="s">
        <v>93</v>
      </c>
      <c r="M7" s="806"/>
      <c r="N7" s="822" t="s">
        <v>356</v>
      </c>
      <c r="O7" s="809" t="s">
        <v>46</v>
      </c>
      <c r="P7" s="810"/>
      <c r="Q7" s="811"/>
      <c r="R7" s="809" t="s">
        <v>50</v>
      </c>
      <c r="S7" s="810"/>
      <c r="T7" s="811"/>
      <c r="U7" s="800" t="s">
        <v>157</v>
      </c>
      <c r="V7" s="800"/>
      <c r="W7" s="800"/>
      <c r="X7" s="815" t="str">
        <f>CTTK!$E$7</f>
        <v>642</v>
      </c>
      <c r="Y7" s="800" t="s">
        <v>339</v>
      </c>
      <c r="Z7" s="501"/>
    </row>
    <row r="8" spans="1:26" ht="24.75" customHeight="1">
      <c r="A8" s="818"/>
      <c r="B8" s="820"/>
      <c r="C8" s="803"/>
      <c r="D8" s="118" t="s">
        <v>15</v>
      </c>
      <c r="E8" s="117" t="s">
        <v>31</v>
      </c>
      <c r="F8" s="803"/>
      <c r="G8" s="808"/>
      <c r="H8" s="821"/>
      <c r="I8" s="139" t="s">
        <v>195</v>
      </c>
      <c r="J8" s="139" t="s">
        <v>196</v>
      </c>
      <c r="K8" s="803"/>
      <c r="L8" s="119" t="s">
        <v>22</v>
      </c>
      <c r="M8" s="119" t="s">
        <v>23</v>
      </c>
      <c r="N8" s="816"/>
      <c r="O8" s="812"/>
      <c r="P8" s="813"/>
      <c r="Q8" s="814"/>
      <c r="R8" s="812"/>
      <c r="S8" s="813"/>
      <c r="T8" s="814"/>
      <c r="U8" s="800"/>
      <c r="V8" s="800"/>
      <c r="W8" s="800"/>
      <c r="X8" s="816"/>
      <c r="Y8" s="800"/>
      <c r="Z8" s="501"/>
    </row>
    <row r="9" spans="1:26">
      <c r="A9" s="122">
        <v>1</v>
      </c>
      <c r="B9" s="123">
        <v>2</v>
      </c>
      <c r="C9" s="122">
        <v>3</v>
      </c>
      <c r="D9" s="123">
        <v>4</v>
      </c>
      <c r="E9" s="122">
        <v>5</v>
      </c>
      <c r="F9" s="123">
        <v>6</v>
      </c>
      <c r="G9" s="122">
        <v>7</v>
      </c>
      <c r="H9" s="123">
        <v>8</v>
      </c>
      <c r="I9" s="122">
        <v>9</v>
      </c>
      <c r="J9" s="123">
        <v>10</v>
      </c>
      <c r="K9" s="122">
        <v>11</v>
      </c>
      <c r="L9" s="123">
        <v>12</v>
      </c>
      <c r="M9" s="122">
        <v>13</v>
      </c>
      <c r="N9" s="123">
        <v>16</v>
      </c>
      <c r="O9" s="124">
        <v>17</v>
      </c>
      <c r="P9" s="123">
        <v>18</v>
      </c>
      <c r="Q9" s="124">
        <v>19</v>
      </c>
      <c r="R9" s="123">
        <v>20</v>
      </c>
      <c r="S9" s="123"/>
      <c r="T9" s="123"/>
      <c r="U9" s="123">
        <v>19</v>
      </c>
      <c r="V9" s="123">
        <v>20</v>
      </c>
      <c r="W9" s="123"/>
      <c r="X9" s="123"/>
      <c r="Y9" s="123">
        <v>21</v>
      </c>
      <c r="Z9" s="502"/>
    </row>
    <row r="10" spans="1:26" ht="15.75" customHeight="1">
      <c r="A10" s="120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267</v>
      </c>
      <c r="G10" s="19"/>
      <c r="H10" s="20"/>
      <c r="I10" s="131"/>
      <c r="J10" s="131"/>
      <c r="K10" s="21">
        <f>SUMIF(KHC,L10,TH)</f>
        <v>172771288</v>
      </c>
      <c r="L10" s="23" t="s">
        <v>350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/>
      </c>
      <c r="Z10" s="503"/>
    </row>
    <row r="11" spans="1:26" ht="15.75" customHeight="1">
      <c r="A11" s="120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268</v>
      </c>
      <c r="G11" s="19"/>
      <c r="H11" s="20"/>
      <c r="I11" s="131"/>
      <c r="J11" s="131"/>
      <c r="K11" s="21">
        <f>SUMIF(KHN,M11,TH)</f>
        <v>1457006900</v>
      </c>
      <c r="L11" s="23" t="s">
        <v>90</v>
      </c>
      <c r="M11" s="22" t="s">
        <v>166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/>
      </c>
      <c r="Y11" s="22" t="str">
        <f>IF(AND(B11&lt;=NKC!$N$8,B11&gt;=NKC!$M$8),"x","")</f>
        <v/>
      </c>
      <c r="Z11" s="503"/>
    </row>
    <row r="12" spans="1:26" ht="15.75" customHeight="1">
      <c r="A12" s="120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269</v>
      </c>
      <c r="G12" s="19"/>
      <c r="H12" s="20"/>
      <c r="I12" s="131"/>
      <c r="J12" s="131"/>
      <c r="K12" s="21">
        <f>SUMIF(KHN,M12,TH)</f>
        <v>27431523</v>
      </c>
      <c r="L12" s="22" t="s">
        <v>90</v>
      </c>
      <c r="M12" s="22" t="s">
        <v>253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/>
      </c>
      <c r="Y12" s="22" t="str">
        <f>IF(AND(B12&lt;=NKC!$N$8,B12&gt;=NKC!$M$8),"x","")</f>
        <v/>
      </c>
      <c r="Z12" s="503"/>
    </row>
    <row r="13" spans="1:26" ht="15.75" customHeight="1">
      <c r="A13" s="120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1"/>
      <c r="J13" s="131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/>
      </c>
      <c r="Z13" s="503"/>
    </row>
    <row r="14" spans="1:26" ht="15.75" customHeight="1">
      <c r="A14" s="120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1"/>
      <c r="J14" s="131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/>
      </c>
      <c r="Y14" s="22" t="str">
        <f>IF(AND(B14&lt;=NKC!$N$8,B14&gt;=NKC!$M$8),"x","")</f>
        <v/>
      </c>
      <c r="Z14" s="503"/>
    </row>
    <row r="15" spans="1:26" ht="15.75" customHeight="1">
      <c r="A15" s="120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321</v>
      </c>
      <c r="G15" s="19"/>
      <c r="H15" s="20"/>
      <c r="I15" s="131"/>
      <c r="J15" s="131"/>
      <c r="K15" s="21">
        <f>SUMIF(KHC,L15,TH)</f>
        <v>1727712897</v>
      </c>
      <c r="L15" s="22" t="s">
        <v>168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/>
      </c>
      <c r="Y15" s="22" t="str">
        <f>IF(AND(B15&lt;=NKC!$N$8,B15&gt;=NKC!$M$8),"x","")</f>
        <v/>
      </c>
      <c r="Z15" s="503"/>
    </row>
    <row r="16" spans="1:26" ht="15.75" customHeight="1">
      <c r="A16" s="120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360</v>
      </c>
      <c r="G16" s="19"/>
      <c r="H16" s="20"/>
      <c r="I16" s="131"/>
      <c r="J16" s="131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503"/>
    </row>
    <row r="17" spans="1:26" ht="15.75" customHeight="1">
      <c r="A17" s="120" t="str">
        <f>IF(B17&lt;&gt;"",IF(AND(B17&gt;=_TM1,B17&lt;=_TM2,OR(TH!L17="1111",TH!M17="1111")),TH!D17,""),"")</f>
        <v/>
      </c>
      <c r="B17" s="12">
        <f t="shared" ref="B17:B80" si="2">IF(C17&lt;&gt;"",MONTH(C17),"")</f>
        <v>7</v>
      </c>
      <c r="C17" s="105">
        <v>42552</v>
      </c>
      <c r="D17" s="105" t="s">
        <v>343</v>
      </c>
      <c r="E17" s="105">
        <v>42516</v>
      </c>
      <c r="F17" s="109" t="s">
        <v>642</v>
      </c>
      <c r="G17" s="296"/>
      <c r="H17" s="4" t="s">
        <v>643</v>
      </c>
      <c r="I17" s="133"/>
      <c r="J17" s="133"/>
      <c r="K17" s="13">
        <v>1800000000</v>
      </c>
      <c r="L17" s="113" t="s">
        <v>46</v>
      </c>
      <c r="M17" s="113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>x</v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>x</v>
      </c>
      <c r="Z17" s="563"/>
    </row>
    <row r="18" spans="1:26" ht="15.75" customHeight="1">
      <c r="A18" s="120" t="str">
        <f>IF(B18&lt;&gt;"",IF(AND(B18&gt;=_TM1,B18&lt;=_TM2,OR(TH!L18="1111",TH!M18="1111")),TH!D18,""),"")</f>
        <v/>
      </c>
      <c r="B18" s="12">
        <f t="shared" si="2"/>
        <v>7</v>
      </c>
      <c r="C18" s="105">
        <v>42552</v>
      </c>
      <c r="D18" s="105" t="s">
        <v>450</v>
      </c>
      <c r="E18" s="105">
        <v>42516</v>
      </c>
      <c r="F18" s="109" t="s">
        <v>469</v>
      </c>
      <c r="G18" s="296" t="s">
        <v>472</v>
      </c>
      <c r="H18" s="4" t="s">
        <v>473</v>
      </c>
      <c r="I18" s="133"/>
      <c r="J18" s="133"/>
      <c r="K18" s="13">
        <v>2200000</v>
      </c>
      <c r="L18" s="113" t="s">
        <v>24</v>
      </c>
      <c r="M18" s="113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>x</v>
      </c>
      <c r="Z18" s="563"/>
    </row>
    <row r="19" spans="1:26" ht="15.75" customHeight="1">
      <c r="A19" s="120" t="str">
        <f>IF(B19&lt;&gt;"",IF(AND(B19&gt;=_TM1,B19&lt;=_TM2,OR(TH!L19="1111",TH!M19="1111")),TH!D19,""),"")</f>
        <v/>
      </c>
      <c r="B19" s="12">
        <f t="shared" si="2"/>
        <v>7</v>
      </c>
      <c r="C19" s="105">
        <v>42552</v>
      </c>
      <c r="D19" s="105" t="s">
        <v>451</v>
      </c>
      <c r="E19" s="105">
        <v>42508</v>
      </c>
      <c r="F19" s="109" t="s">
        <v>415</v>
      </c>
      <c r="G19" s="296" t="s">
        <v>414</v>
      </c>
      <c r="H19" s="112" t="s">
        <v>413</v>
      </c>
      <c r="I19" s="133"/>
      <c r="J19" s="133"/>
      <c r="K19" s="401">
        <v>2160000</v>
      </c>
      <c r="L19" s="402" t="s">
        <v>82</v>
      </c>
      <c r="M19" s="402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>x</v>
      </c>
      <c r="Y19" s="22" t="str">
        <f>IF(AND(B19&lt;=NKC!$N$8,B19&gt;=NKC!$M$8),"x","")</f>
        <v>x</v>
      </c>
      <c r="Z19" s="563">
        <v>3</v>
      </c>
    </row>
    <row r="20" spans="1:26" ht="15.75" customHeight="1">
      <c r="A20" s="120" t="str">
        <f>IF(B20&lt;&gt;"",IF(AND(B20&gt;=_TM1,B20&lt;=_TM2,OR(TH!L20="1111",TH!M20="1111")),TH!D20,""),"")</f>
        <v/>
      </c>
      <c r="B20" s="12">
        <f t="shared" si="2"/>
        <v>7</v>
      </c>
      <c r="C20" s="105">
        <v>42552</v>
      </c>
      <c r="D20" s="105" t="s">
        <v>451</v>
      </c>
      <c r="E20" s="105">
        <v>42508</v>
      </c>
      <c r="F20" s="109" t="s">
        <v>416</v>
      </c>
      <c r="G20" s="296" t="s">
        <v>414</v>
      </c>
      <c r="H20" s="112" t="s">
        <v>413</v>
      </c>
      <c r="I20" s="133"/>
      <c r="J20" s="133"/>
      <c r="K20" s="401">
        <v>216000</v>
      </c>
      <c r="L20" s="402" t="s">
        <v>9</v>
      </c>
      <c r="M20" s="402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>x</v>
      </c>
      <c r="Z20" s="563">
        <v>3</v>
      </c>
    </row>
    <row r="21" spans="1:26" ht="15.75" customHeight="1">
      <c r="A21" s="120" t="str">
        <f>IF(B21&lt;&gt;"",IF(AND(B21&gt;=_TM1,B21&lt;=_TM2,OR(TH!L21="1111",TH!M21="1111")),TH!D21,""),"")</f>
        <v/>
      </c>
      <c r="B21" s="12">
        <f t="shared" si="2"/>
        <v>7</v>
      </c>
      <c r="C21" s="105">
        <v>42552</v>
      </c>
      <c r="D21" s="105" t="s">
        <v>468</v>
      </c>
      <c r="E21" s="105">
        <v>42516</v>
      </c>
      <c r="F21" s="109" t="s">
        <v>470</v>
      </c>
      <c r="G21" s="296" t="s">
        <v>472</v>
      </c>
      <c r="H21" s="4"/>
      <c r="I21" s="133"/>
      <c r="J21" s="133"/>
      <c r="K21" s="13">
        <v>20000</v>
      </c>
      <c r="L21" s="113" t="s">
        <v>82</v>
      </c>
      <c r="M21" s="113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>x</v>
      </c>
      <c r="Y21" s="22" t="str">
        <f>IF(AND(B21&lt;=NKC!$N$8,B21&gt;=NKC!$M$8),"x","")</f>
        <v>x</v>
      </c>
      <c r="Z21" s="563">
        <v>3</v>
      </c>
    </row>
    <row r="22" spans="1:26" ht="15.75" customHeight="1">
      <c r="A22" s="120" t="str">
        <f>IF(B22&lt;&gt;"",IF(AND(B22&gt;=_TM1,B22&lt;=_TM2,OR(TH!L22="1111",TH!M22="1111")),TH!D22,""),"")</f>
        <v/>
      </c>
      <c r="B22" s="12">
        <f t="shared" si="2"/>
        <v>7</v>
      </c>
      <c r="C22" s="105">
        <v>42552</v>
      </c>
      <c r="D22" s="105" t="s">
        <v>468</v>
      </c>
      <c r="E22" s="105">
        <v>42516</v>
      </c>
      <c r="F22" s="109" t="s">
        <v>471</v>
      </c>
      <c r="G22" s="296" t="s">
        <v>472</v>
      </c>
      <c r="H22" s="4"/>
      <c r="I22" s="133"/>
      <c r="J22" s="133"/>
      <c r="K22" s="13">
        <v>2000</v>
      </c>
      <c r="L22" s="113" t="s">
        <v>9</v>
      </c>
      <c r="M22" s="113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>x</v>
      </c>
      <c r="Z22" s="563">
        <v>3</v>
      </c>
    </row>
    <row r="23" spans="1:26" ht="15.75" customHeight="1">
      <c r="A23" s="120" t="str">
        <f>IF(B23&lt;&gt;"",IF(AND(B23&gt;=_TM1,B23&lt;=_TM2,OR(TH!L23="1111",TH!M23="1111")),TH!D23,""),"")</f>
        <v/>
      </c>
      <c r="B23" s="12">
        <f t="shared" si="2"/>
        <v>7</v>
      </c>
      <c r="C23" s="105">
        <v>42552</v>
      </c>
      <c r="D23" s="105" t="s">
        <v>452</v>
      </c>
      <c r="E23" s="105">
        <v>42508</v>
      </c>
      <c r="F23" s="109" t="s">
        <v>1091</v>
      </c>
      <c r="G23" s="296"/>
      <c r="H23" s="112" t="s">
        <v>1092</v>
      </c>
      <c r="I23" s="133"/>
      <c r="J23" s="133"/>
      <c r="K23" s="401">
        <v>1000000</v>
      </c>
      <c r="L23" s="402" t="s">
        <v>62</v>
      </c>
      <c r="M23" s="402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>x</v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>x</v>
      </c>
      <c r="Z23" s="563"/>
    </row>
    <row r="24" spans="1:26" ht="15.75" customHeight="1">
      <c r="A24" s="120" t="str">
        <f>IF(B24&lt;&gt;"",IF(AND(B24&gt;=_TM1,B24&lt;=_TM2,OR(TH!L24="1111",TH!M24="1111")),TH!D24,""),"")</f>
        <v/>
      </c>
      <c r="B24" s="12">
        <f t="shared" si="2"/>
        <v>7</v>
      </c>
      <c r="C24" s="105">
        <v>42552</v>
      </c>
      <c r="D24" s="105" t="s">
        <v>323</v>
      </c>
      <c r="E24" s="105">
        <v>42508</v>
      </c>
      <c r="F24" s="109" t="s">
        <v>1093</v>
      </c>
      <c r="G24" s="296"/>
      <c r="H24" s="112" t="s">
        <v>1092</v>
      </c>
      <c r="I24" s="133"/>
      <c r="J24" s="133"/>
      <c r="K24" s="401">
        <v>1000000</v>
      </c>
      <c r="L24" s="402" t="s">
        <v>82</v>
      </c>
      <c r="M24" s="402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>x</v>
      </c>
      <c r="Y24" s="22" t="str">
        <f>IF(AND(B24&lt;=NKC!$N$8,B24&gt;=NKC!$M$8),"x","")</f>
        <v>x</v>
      </c>
      <c r="Z24" s="563"/>
    </row>
    <row r="25" spans="1:26" ht="15.75" customHeight="1">
      <c r="A25" s="120" t="str">
        <f>IF(B25&lt;&gt;"",IF(AND(B25&gt;=_TM1,B25&lt;=_TM2,OR(TH!L25="1111",TH!M25="1111")),TH!D25,""),"")</f>
        <v/>
      </c>
      <c r="B25" s="12">
        <f t="shared" si="2"/>
        <v>7</v>
      </c>
      <c r="C25" s="105">
        <v>42552</v>
      </c>
      <c r="D25" s="110" t="s">
        <v>400</v>
      </c>
      <c r="E25" s="105">
        <v>42529</v>
      </c>
      <c r="F25" s="109" t="s">
        <v>403</v>
      </c>
      <c r="G25" s="298" t="s">
        <v>373</v>
      </c>
      <c r="H25" s="4" t="s">
        <v>396</v>
      </c>
      <c r="I25" s="133">
        <v>10288</v>
      </c>
      <c r="J25" s="133">
        <v>7500</v>
      </c>
      <c r="K25" s="13">
        <f>ROUND(I25*J25,0)</f>
        <v>77160000</v>
      </c>
      <c r="L25" s="113" t="s">
        <v>153</v>
      </c>
      <c r="M25" s="113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>x</v>
      </c>
      <c r="Z25" s="563">
        <v>3</v>
      </c>
    </row>
    <row r="26" spans="1:26" ht="15.75" customHeight="1">
      <c r="A26" s="120" t="str">
        <f>IF(B26&lt;&gt;"",IF(AND(B26&gt;=_TM1,B26&lt;=_TM2,OR(TH!L26="1111",TH!M26="1111")),TH!D26,""),"")</f>
        <v/>
      </c>
      <c r="B26" s="12">
        <f t="shared" si="2"/>
        <v>7</v>
      </c>
      <c r="C26" s="105">
        <v>42552</v>
      </c>
      <c r="D26" s="110" t="s">
        <v>400</v>
      </c>
      <c r="E26" s="105">
        <v>42529</v>
      </c>
      <c r="F26" s="111" t="s">
        <v>374</v>
      </c>
      <c r="G26" s="298" t="s">
        <v>373</v>
      </c>
      <c r="H26" s="4" t="s">
        <v>396</v>
      </c>
      <c r="I26" s="133"/>
      <c r="J26" s="133"/>
      <c r="K26" s="401">
        <v>7716000</v>
      </c>
      <c r="L26" s="113" t="s">
        <v>9</v>
      </c>
      <c r="M26" s="113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>x</v>
      </c>
      <c r="Z26" s="563">
        <v>3</v>
      </c>
    </row>
    <row r="27" spans="1:26" ht="15.75" customHeight="1">
      <c r="A27" s="120" t="str">
        <f>IF(B27&lt;&gt;"",IF(AND(B27&gt;=_TM1,B27&lt;=_TM2,OR(TH!L27="1111",TH!M27="1111")),TH!D27,""),"")</f>
        <v/>
      </c>
      <c r="B27" s="12">
        <f t="shared" si="2"/>
        <v>7</v>
      </c>
      <c r="C27" s="105">
        <v>42552</v>
      </c>
      <c r="D27" s="105" t="s">
        <v>455</v>
      </c>
      <c r="E27" s="105">
        <v>42532</v>
      </c>
      <c r="F27" s="109" t="s">
        <v>419</v>
      </c>
      <c r="G27" s="296" t="s">
        <v>418</v>
      </c>
      <c r="H27" s="112" t="s">
        <v>417</v>
      </c>
      <c r="I27" s="133"/>
      <c r="J27" s="133"/>
      <c r="K27" s="401">
        <v>3800000</v>
      </c>
      <c r="L27" s="402" t="s">
        <v>82</v>
      </c>
      <c r="M27" s="402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>x</v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>x</v>
      </c>
      <c r="Y27" s="22" t="str">
        <f>IF(AND(B27&lt;=NKC!$N$8,B27&gt;=NKC!$M$8),"x","")</f>
        <v>x</v>
      </c>
      <c r="Z27" s="563">
        <v>3</v>
      </c>
    </row>
    <row r="28" spans="1:26" ht="15.75" customHeight="1">
      <c r="A28" s="120" t="str">
        <f>IF(B28&lt;&gt;"",IF(AND(B28&gt;=_TM1,B28&lt;=_TM2,OR(TH!L28="1111",TH!M28="1111")),TH!D28,""),"")</f>
        <v/>
      </c>
      <c r="B28" s="12">
        <f t="shared" si="2"/>
        <v>7</v>
      </c>
      <c r="C28" s="105">
        <v>42552</v>
      </c>
      <c r="D28" s="105" t="s">
        <v>455</v>
      </c>
      <c r="E28" s="105">
        <v>42532</v>
      </c>
      <c r="F28" s="109" t="s">
        <v>420</v>
      </c>
      <c r="G28" s="296" t="s">
        <v>418</v>
      </c>
      <c r="H28" s="112" t="s">
        <v>417</v>
      </c>
      <c r="I28" s="133"/>
      <c r="J28" s="133"/>
      <c r="K28" s="13">
        <v>380000</v>
      </c>
      <c r="L28" s="402" t="s">
        <v>9</v>
      </c>
      <c r="M28" s="402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>x</v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>x</v>
      </c>
      <c r="Z28" s="563">
        <v>3</v>
      </c>
    </row>
    <row r="29" spans="1:26" ht="15.75" customHeight="1">
      <c r="A29" s="120" t="str">
        <f>IF(B29&lt;&gt;"",IF(AND(B29&gt;=_TM1,B29&lt;=_TM2,OR(TH!L29="1111",TH!M29="1111")),TH!D29,""),"")</f>
        <v/>
      </c>
      <c r="B29" s="12">
        <f t="shared" si="2"/>
        <v>7</v>
      </c>
      <c r="C29" s="105">
        <v>42552</v>
      </c>
      <c r="D29" s="110" t="s">
        <v>401</v>
      </c>
      <c r="E29" s="105">
        <v>42542</v>
      </c>
      <c r="F29" s="109" t="s">
        <v>403</v>
      </c>
      <c r="G29" s="298" t="s">
        <v>404</v>
      </c>
      <c r="H29" s="4" t="s">
        <v>397</v>
      </c>
      <c r="I29" s="133">
        <v>4094</v>
      </c>
      <c r="J29" s="133">
        <v>7600</v>
      </c>
      <c r="K29" s="13">
        <f>ROUND(I29*J29,0)</f>
        <v>31114400</v>
      </c>
      <c r="L29" s="113" t="s">
        <v>153</v>
      </c>
      <c r="M29" s="113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>x</v>
      </c>
      <c r="Z29" s="563">
        <v>3</v>
      </c>
    </row>
    <row r="30" spans="1:26" ht="15.75" customHeight="1">
      <c r="A30" s="120" t="str">
        <f>IF(B30&lt;&gt;"",IF(AND(B30&gt;=_TM1,B30&lt;=_TM2,OR(TH!L30="1111",TH!M30="1111")),TH!D30,""),"")</f>
        <v/>
      </c>
      <c r="B30" s="12">
        <f t="shared" si="2"/>
        <v>7</v>
      </c>
      <c r="C30" s="105">
        <v>42552</v>
      </c>
      <c r="D30" s="110" t="s">
        <v>401</v>
      </c>
      <c r="E30" s="105">
        <v>42542</v>
      </c>
      <c r="F30" s="109" t="s">
        <v>405</v>
      </c>
      <c r="G30" s="298" t="s">
        <v>404</v>
      </c>
      <c r="H30" s="4" t="s">
        <v>397</v>
      </c>
      <c r="I30" s="133">
        <v>4522</v>
      </c>
      <c r="J30" s="133">
        <v>8500</v>
      </c>
      <c r="K30" s="13">
        <f>ROUND(I30*J30,0)</f>
        <v>38437000</v>
      </c>
      <c r="L30" s="113" t="s">
        <v>153</v>
      </c>
      <c r="M30" s="113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>x</v>
      </c>
      <c r="Z30" s="563">
        <v>3</v>
      </c>
    </row>
    <row r="31" spans="1:26" ht="15.75" customHeight="1">
      <c r="A31" s="120" t="str">
        <f>IF(B31&lt;&gt;"",IF(AND(B31&gt;=_TM1,B31&lt;=_TM2,OR(TH!L31="1111",TH!M31="1111")),TH!D31,""),"")</f>
        <v/>
      </c>
      <c r="B31" s="12">
        <f t="shared" si="2"/>
        <v>7</v>
      </c>
      <c r="C31" s="105">
        <v>42552</v>
      </c>
      <c r="D31" s="110" t="s">
        <v>401</v>
      </c>
      <c r="E31" s="105">
        <v>42542</v>
      </c>
      <c r="F31" s="109" t="s">
        <v>448</v>
      </c>
      <c r="G31" s="298" t="s">
        <v>404</v>
      </c>
      <c r="H31" s="4" t="s">
        <v>397</v>
      </c>
      <c r="I31" s="133">
        <v>2633</v>
      </c>
      <c r="J31" s="133">
        <v>8500</v>
      </c>
      <c r="K31" s="13">
        <f>ROUND(I31*J31,0)</f>
        <v>22380500</v>
      </c>
      <c r="L31" s="113" t="s">
        <v>153</v>
      </c>
      <c r="M31" s="113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>x</v>
      </c>
      <c r="Z31" s="563">
        <v>3</v>
      </c>
    </row>
    <row r="32" spans="1:26" ht="15.75" customHeight="1">
      <c r="A32" s="120" t="str">
        <f>IF(B32&lt;&gt;"",IF(AND(B32&gt;=_TM1,B32&lt;=_TM2,OR(TH!L32="1111",TH!M32="1111")),TH!D32,""),"")</f>
        <v/>
      </c>
      <c r="B32" s="12">
        <f t="shared" si="2"/>
        <v>7</v>
      </c>
      <c r="C32" s="105">
        <v>42552</v>
      </c>
      <c r="D32" s="110" t="s">
        <v>401</v>
      </c>
      <c r="E32" s="105">
        <v>42542</v>
      </c>
      <c r="F32" s="109" t="s">
        <v>398</v>
      </c>
      <c r="G32" s="298" t="s">
        <v>404</v>
      </c>
      <c r="H32" s="4" t="s">
        <v>397</v>
      </c>
      <c r="I32" s="133"/>
      <c r="J32" s="133"/>
      <c r="K32" s="401">
        <v>9193190</v>
      </c>
      <c r="L32" s="113" t="s">
        <v>9</v>
      </c>
      <c r="M32" s="113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>x</v>
      </c>
      <c r="Z32" s="563">
        <v>3</v>
      </c>
    </row>
    <row r="33" spans="1:26" ht="15.75" customHeight="1">
      <c r="A33" s="120" t="str">
        <f>IF(B33&lt;&gt;"",IF(AND(B33&gt;=_TM1,B33&lt;=_TM2,OR(TH!L33="1111",TH!M33="1111")),TH!D33,""),"")</f>
        <v/>
      </c>
      <c r="B33" s="12">
        <f t="shared" si="2"/>
        <v>7</v>
      </c>
      <c r="C33" s="105">
        <v>42552</v>
      </c>
      <c r="D33" s="105" t="s">
        <v>467</v>
      </c>
      <c r="E33" s="105">
        <v>42546</v>
      </c>
      <c r="F33" s="109" t="s">
        <v>474</v>
      </c>
      <c r="G33" s="296" t="s">
        <v>472</v>
      </c>
      <c r="H33" s="4"/>
      <c r="I33" s="133"/>
      <c r="J33" s="133"/>
      <c r="K33" s="401">
        <v>1500</v>
      </c>
      <c r="L33" s="113" t="s">
        <v>24</v>
      </c>
      <c r="M33" s="113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>x</v>
      </c>
      <c r="Z33" s="563"/>
    </row>
    <row r="34" spans="1:26" ht="15.75" customHeight="1">
      <c r="A34" s="120" t="str">
        <f>IF(B34&lt;&gt;"",IF(AND(B34&gt;=_TM1,B34&lt;=_TM2,OR(TH!L34="1111",TH!M34="1111")),TH!D34,""),"")</f>
        <v/>
      </c>
      <c r="B34" s="12">
        <f t="shared" si="2"/>
        <v>7</v>
      </c>
      <c r="C34" s="105">
        <v>42552</v>
      </c>
      <c r="D34" s="105" t="s">
        <v>468</v>
      </c>
      <c r="E34" s="105">
        <v>42546</v>
      </c>
      <c r="F34" s="109" t="s">
        <v>475</v>
      </c>
      <c r="G34" s="296" t="s">
        <v>472</v>
      </c>
      <c r="H34" s="4"/>
      <c r="I34" s="133"/>
      <c r="J34" s="133"/>
      <c r="K34" s="13">
        <v>10000</v>
      </c>
      <c r="L34" s="113" t="s">
        <v>82</v>
      </c>
      <c r="M34" s="113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>x</v>
      </c>
      <c r="Y34" s="22" t="str">
        <f>IF(AND(B34&lt;=NKC!$N$8,B34&gt;=NKC!$M$8),"x","")</f>
        <v>x</v>
      </c>
      <c r="Z34" s="563">
        <v>3</v>
      </c>
    </row>
    <row r="35" spans="1:26" ht="15.75" customHeight="1">
      <c r="A35" s="120" t="str">
        <f>IF(B35&lt;&gt;"",IF(AND(B35&gt;=_TM1,B35&lt;=_TM2,OR(TH!L35="1111",TH!M35="1111")),TH!D35,""),"")</f>
        <v/>
      </c>
      <c r="B35" s="12">
        <f t="shared" si="2"/>
        <v>7</v>
      </c>
      <c r="C35" s="105">
        <v>42552</v>
      </c>
      <c r="D35" s="105" t="s">
        <v>468</v>
      </c>
      <c r="E35" s="105">
        <v>42546</v>
      </c>
      <c r="F35" s="109" t="s">
        <v>476</v>
      </c>
      <c r="G35" s="296" t="s">
        <v>472</v>
      </c>
      <c r="H35" s="4"/>
      <c r="I35" s="133"/>
      <c r="J35" s="133"/>
      <c r="K35" s="13">
        <v>1000</v>
      </c>
      <c r="L35" s="113" t="s">
        <v>9</v>
      </c>
      <c r="M35" s="113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>x</v>
      </c>
      <c r="Z35" s="563">
        <v>3</v>
      </c>
    </row>
    <row r="36" spans="1:26" ht="15.75" customHeight="1">
      <c r="A36" s="120" t="str">
        <f>IF(B36&lt;&gt;"",IF(AND(B36&gt;=_TM1,B36&lt;=_TM2,OR(TH!L36="1111",TH!M36="1111")),TH!D36,""),"")</f>
        <v/>
      </c>
      <c r="B36" s="12">
        <f t="shared" si="2"/>
        <v>7</v>
      </c>
      <c r="C36" s="105">
        <v>42552</v>
      </c>
      <c r="D36" s="110" t="s">
        <v>402</v>
      </c>
      <c r="E36" s="105">
        <v>42551</v>
      </c>
      <c r="F36" s="109" t="s">
        <v>403</v>
      </c>
      <c r="G36" s="298" t="s">
        <v>406</v>
      </c>
      <c r="H36" s="4" t="s">
        <v>397</v>
      </c>
      <c r="I36" s="133">
        <v>6226</v>
      </c>
      <c r="J36" s="133">
        <v>7600</v>
      </c>
      <c r="K36" s="13">
        <f>ROUND(I36*J36,0)</f>
        <v>47317600</v>
      </c>
      <c r="L36" s="113" t="s">
        <v>153</v>
      </c>
      <c r="M36" s="113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>x</v>
      </c>
      <c r="Z36" s="563">
        <v>3</v>
      </c>
    </row>
    <row r="37" spans="1:26" ht="15.75" customHeight="1">
      <c r="A37" s="120" t="str">
        <f>IF(B37&lt;&gt;"",IF(AND(B37&gt;=_TM1,B37&lt;=_TM2,OR(TH!L37="1111",TH!M37="1111")),TH!D37,""),"")</f>
        <v/>
      </c>
      <c r="B37" s="12">
        <f t="shared" si="2"/>
        <v>7</v>
      </c>
      <c r="C37" s="105">
        <v>42552</v>
      </c>
      <c r="D37" s="110" t="s">
        <v>402</v>
      </c>
      <c r="E37" s="105">
        <v>42551</v>
      </c>
      <c r="F37" s="109" t="s">
        <v>405</v>
      </c>
      <c r="G37" s="298" t="s">
        <v>406</v>
      </c>
      <c r="H37" s="4" t="s">
        <v>397</v>
      </c>
      <c r="I37" s="133">
        <v>8730</v>
      </c>
      <c r="J37" s="133">
        <v>8500</v>
      </c>
      <c r="K37" s="13">
        <f>ROUND(I37*J37,0)</f>
        <v>74205000</v>
      </c>
      <c r="L37" s="113" t="s">
        <v>153</v>
      </c>
      <c r="M37" s="113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>x</v>
      </c>
      <c r="Z37" s="563">
        <v>3</v>
      </c>
    </row>
    <row r="38" spans="1:26" ht="15.75" customHeight="1">
      <c r="A38" s="120" t="str">
        <f>IF(B38&lt;&gt;"",IF(AND(B38&gt;=_TM1,B38&lt;=_TM2,OR(TH!L38="1111",TH!M38="1111")),TH!D38,""),"")</f>
        <v/>
      </c>
      <c r="B38" s="12">
        <f t="shared" si="2"/>
        <v>7</v>
      </c>
      <c r="C38" s="105">
        <v>42552</v>
      </c>
      <c r="D38" s="110" t="s">
        <v>402</v>
      </c>
      <c r="E38" s="105">
        <v>42551</v>
      </c>
      <c r="F38" s="109" t="s">
        <v>448</v>
      </c>
      <c r="G38" s="298" t="s">
        <v>406</v>
      </c>
      <c r="H38" s="4" t="s">
        <v>397</v>
      </c>
      <c r="I38" s="133">
        <v>8191</v>
      </c>
      <c r="J38" s="133">
        <v>8500</v>
      </c>
      <c r="K38" s="13">
        <f>ROUND(I38*J38,0)</f>
        <v>69623500</v>
      </c>
      <c r="L38" s="113" t="s">
        <v>153</v>
      </c>
      <c r="M38" s="113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>x</v>
      </c>
      <c r="Z38" s="563">
        <v>3</v>
      </c>
    </row>
    <row r="39" spans="1:26" ht="15.75" customHeight="1">
      <c r="A39" s="120" t="str">
        <f>IF(B39&lt;&gt;"",IF(AND(B39&gt;=_TM1,B39&lt;=_TM2,OR(TH!L39="1111",TH!M39="1111")),TH!D39,""),"")</f>
        <v/>
      </c>
      <c r="B39" s="12">
        <f t="shared" si="2"/>
        <v>7</v>
      </c>
      <c r="C39" s="105">
        <v>42552</v>
      </c>
      <c r="D39" s="110" t="s">
        <v>402</v>
      </c>
      <c r="E39" s="105">
        <v>42551</v>
      </c>
      <c r="F39" s="111" t="s">
        <v>398</v>
      </c>
      <c r="G39" s="298" t="s">
        <v>406</v>
      </c>
      <c r="H39" s="4" t="s">
        <v>397</v>
      </c>
      <c r="I39" s="133"/>
      <c r="J39" s="133"/>
      <c r="K39" s="401">
        <v>19114610</v>
      </c>
      <c r="L39" s="113" t="s">
        <v>9</v>
      </c>
      <c r="M39" s="113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>x</v>
      </c>
      <c r="Z39" s="563">
        <v>3</v>
      </c>
    </row>
    <row r="40" spans="1:26" ht="15.75" customHeight="1">
      <c r="A40" s="120" t="str">
        <f>IF(B40&lt;&gt;"",IF(AND(B40&gt;=_TM1,B40&lt;=_TM2,OR(TH!L40="1111",TH!M40="1111")),TH!D40,""),"")</f>
        <v/>
      </c>
      <c r="B40" s="12">
        <f t="shared" si="2"/>
        <v>7</v>
      </c>
      <c r="C40" s="557">
        <f t="shared" ref="C40:C103" si="3">E40</f>
        <v>42552</v>
      </c>
      <c r="D40" s="557" t="s">
        <v>323</v>
      </c>
      <c r="E40" s="557">
        <v>42552</v>
      </c>
      <c r="F40" s="560" t="s">
        <v>818</v>
      </c>
      <c r="G40" s="558"/>
      <c r="H40" s="577"/>
      <c r="I40" s="559"/>
      <c r="J40" s="559"/>
      <c r="K40" s="562">
        <v>13250000</v>
      </c>
      <c r="L40" s="578" t="s">
        <v>159</v>
      </c>
      <c r="M40" s="578" t="s">
        <v>252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>x</v>
      </c>
      <c r="Z40" s="579"/>
    </row>
    <row r="41" spans="1:26" ht="15.75" customHeight="1">
      <c r="A41" s="120" t="str">
        <f>IF(B41&lt;&gt;"",IF(AND(B41&gt;=_TM1,B41&lt;=_TM2,OR(TH!L41="1111",TH!M41="1111")),TH!D41,""),"")</f>
        <v/>
      </c>
      <c r="B41" s="12">
        <f t="shared" si="2"/>
        <v>7</v>
      </c>
      <c r="C41" s="105">
        <f t="shared" si="3"/>
        <v>42559</v>
      </c>
      <c r="D41" s="105" t="s">
        <v>456</v>
      </c>
      <c r="E41" s="105">
        <v>42559</v>
      </c>
      <c r="F41" s="109" t="s">
        <v>469</v>
      </c>
      <c r="G41" s="296" t="s">
        <v>472</v>
      </c>
      <c r="H41" s="4" t="s">
        <v>473</v>
      </c>
      <c r="I41" s="133"/>
      <c r="J41" s="133"/>
      <c r="K41" s="13">
        <v>40700000</v>
      </c>
      <c r="L41" s="113" t="s">
        <v>24</v>
      </c>
      <c r="M41" s="113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>x</v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>x</v>
      </c>
      <c r="Z41" s="563"/>
    </row>
    <row r="42" spans="1:26" ht="15.75" customHeight="1">
      <c r="A42" s="120" t="str">
        <f>IF(B42&lt;&gt;"",IF(AND(B42&gt;=_TM1,B42&lt;=_TM2,OR(TH!L42="1111",TH!M42="1111")),TH!D42,""),"")</f>
        <v/>
      </c>
      <c r="B42" s="12">
        <f t="shared" si="2"/>
        <v>7</v>
      </c>
      <c r="C42" s="105">
        <f t="shared" si="3"/>
        <v>42559</v>
      </c>
      <c r="D42" s="105" t="s">
        <v>468</v>
      </c>
      <c r="E42" s="105">
        <v>42559</v>
      </c>
      <c r="F42" s="109" t="s">
        <v>477</v>
      </c>
      <c r="G42" s="296" t="s">
        <v>472</v>
      </c>
      <c r="H42" s="112" t="s">
        <v>622</v>
      </c>
      <c r="I42" s="133"/>
      <c r="J42" s="133"/>
      <c r="K42" s="13">
        <v>40700000</v>
      </c>
      <c r="L42" s="113" t="s">
        <v>8</v>
      </c>
      <c r="M42" s="113" t="s">
        <v>24</v>
      </c>
      <c r="N42" s="22" t="str">
        <f>IF(AND('331-CT'!$E$7=TH!H42,OR(L42="331",M42="331")),"331",IF(AND(OR(L42="131",M42="131"),H42='131-CT'!$E$7),"131",""))</f>
        <v>331</v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>x</v>
      </c>
      <c r="Z42" s="563"/>
    </row>
    <row r="43" spans="1:26" ht="15.75" customHeight="1">
      <c r="A43" s="120" t="str">
        <f>IF(B43&lt;&gt;"",IF(AND(B43&gt;=_TM1,B43&lt;=_TM2,OR(TH!L43="1111",TH!M43="1111")),TH!D43,""),"")</f>
        <v/>
      </c>
      <c r="B43" s="12">
        <f t="shared" si="2"/>
        <v>7</v>
      </c>
      <c r="C43" s="105">
        <f t="shared" si="3"/>
        <v>42559</v>
      </c>
      <c r="D43" s="105" t="s">
        <v>468</v>
      </c>
      <c r="E43" s="105">
        <v>42559</v>
      </c>
      <c r="F43" s="109" t="s">
        <v>478</v>
      </c>
      <c r="G43" s="296" t="s">
        <v>472</v>
      </c>
      <c r="H43" s="4"/>
      <c r="I43" s="133"/>
      <c r="J43" s="133"/>
      <c r="K43" s="401">
        <v>20000</v>
      </c>
      <c r="L43" s="113" t="s">
        <v>82</v>
      </c>
      <c r="M43" s="113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>x</v>
      </c>
      <c r="Y43" s="22" t="str">
        <f>IF(AND(B43&lt;=NKC!$N$8,B43&gt;=NKC!$M$8),"x","")</f>
        <v>x</v>
      </c>
      <c r="Z43" s="563">
        <v>3</v>
      </c>
    </row>
    <row r="44" spans="1:26" ht="15.75" customHeight="1">
      <c r="A44" s="120" t="str">
        <f>IF(B44&lt;&gt;"",IF(AND(B44&gt;=_TM1,B44&lt;=_TM2,OR(TH!L44="1111",TH!M44="1111")),TH!D44,""),"")</f>
        <v/>
      </c>
      <c r="B44" s="12">
        <f t="shared" si="2"/>
        <v>7</v>
      </c>
      <c r="C44" s="105">
        <f t="shared" si="3"/>
        <v>42559</v>
      </c>
      <c r="D44" s="105" t="s">
        <v>468</v>
      </c>
      <c r="E44" s="105">
        <v>42559</v>
      </c>
      <c r="F44" s="109" t="s">
        <v>479</v>
      </c>
      <c r="G44" s="296" t="s">
        <v>472</v>
      </c>
      <c r="H44" s="4"/>
      <c r="I44" s="133"/>
      <c r="J44" s="133"/>
      <c r="K44" s="401">
        <v>2000</v>
      </c>
      <c r="L44" s="113" t="s">
        <v>9</v>
      </c>
      <c r="M44" s="113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>x</v>
      </c>
      <c r="Z44" s="563">
        <v>3</v>
      </c>
    </row>
    <row r="45" spans="1:26" ht="15.75" customHeight="1">
      <c r="A45" s="120" t="str">
        <f>IF(B45&lt;&gt;"",IF(AND(B45&gt;=_TM1,B45&lt;=_TM2,OR(TH!L45="1111",TH!M45="1111")),TH!D45,""),"")</f>
        <v/>
      </c>
      <c r="B45" s="12">
        <f t="shared" si="2"/>
        <v>7</v>
      </c>
      <c r="C45" s="105">
        <f t="shared" si="3"/>
        <v>42559</v>
      </c>
      <c r="D45" s="105" t="s">
        <v>468</v>
      </c>
      <c r="E45" s="105">
        <v>42559</v>
      </c>
      <c r="F45" s="109" t="s">
        <v>480</v>
      </c>
      <c r="G45" s="296" t="s">
        <v>472</v>
      </c>
      <c r="H45" s="4"/>
      <c r="I45" s="133"/>
      <c r="J45" s="133"/>
      <c r="K45" s="401">
        <v>20000</v>
      </c>
      <c r="L45" s="113" t="s">
        <v>82</v>
      </c>
      <c r="M45" s="113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>x</v>
      </c>
      <c r="Y45" s="22" t="str">
        <f>IF(AND(B45&lt;=NKC!$N$8,B45&gt;=NKC!$M$8),"x","")</f>
        <v>x</v>
      </c>
      <c r="Z45" s="563">
        <v>3</v>
      </c>
    </row>
    <row r="46" spans="1:26" ht="15.75" customHeight="1">
      <c r="A46" s="120" t="str">
        <f>IF(B46&lt;&gt;"",IF(AND(B46&gt;=_TM1,B46&lt;=_TM2,OR(TH!L46="1111",TH!M46="1111")),TH!D46,""),"")</f>
        <v/>
      </c>
      <c r="B46" s="12">
        <f t="shared" si="2"/>
        <v>7</v>
      </c>
      <c r="C46" s="105">
        <f t="shared" si="3"/>
        <v>42559</v>
      </c>
      <c r="D46" s="105" t="s">
        <v>468</v>
      </c>
      <c r="E46" s="105">
        <v>42559</v>
      </c>
      <c r="F46" s="109" t="s">
        <v>481</v>
      </c>
      <c r="G46" s="296" t="s">
        <v>472</v>
      </c>
      <c r="H46" s="4"/>
      <c r="I46" s="133"/>
      <c r="J46" s="133"/>
      <c r="K46" s="401">
        <v>2000</v>
      </c>
      <c r="L46" s="113" t="s">
        <v>9</v>
      </c>
      <c r="M46" s="113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>x</v>
      </c>
      <c r="Z46" s="563">
        <v>3</v>
      </c>
    </row>
    <row r="47" spans="1:26" ht="15.75" customHeight="1">
      <c r="A47" s="120" t="str">
        <f>IF(B47&lt;&gt;"",IF(AND(B47&gt;=_TM1,B47&lt;=_TM2,OR(TH!L47="1111",TH!M47="1111")),TH!D47,""),"")</f>
        <v/>
      </c>
      <c r="B47" s="12">
        <f t="shared" si="2"/>
        <v>7</v>
      </c>
      <c r="C47" s="105">
        <f t="shared" si="3"/>
        <v>42563</v>
      </c>
      <c r="D47" s="110" t="s">
        <v>400</v>
      </c>
      <c r="E47" s="105">
        <v>42563</v>
      </c>
      <c r="F47" s="109" t="s">
        <v>403</v>
      </c>
      <c r="G47" s="298" t="s">
        <v>449</v>
      </c>
      <c r="H47" s="4" t="s">
        <v>397</v>
      </c>
      <c r="I47" s="133">
        <v>11536</v>
      </c>
      <c r="J47" s="133">
        <v>7600</v>
      </c>
      <c r="K47" s="13">
        <f>ROUND(I47*J47,0)</f>
        <v>87673600</v>
      </c>
      <c r="L47" s="113" t="s">
        <v>153</v>
      </c>
      <c r="M47" s="113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>x</v>
      </c>
      <c r="Z47" s="563">
        <v>3</v>
      </c>
    </row>
    <row r="48" spans="1:26" ht="15.75" customHeight="1">
      <c r="A48" s="120" t="str">
        <f>IF(B48&lt;&gt;"",IF(AND(B48&gt;=_TM1,B48&lt;=_TM2,OR(TH!L48="1111",TH!M48="1111")),TH!D48,""),"")</f>
        <v/>
      </c>
      <c r="B48" s="12">
        <f t="shared" si="2"/>
        <v>7</v>
      </c>
      <c r="C48" s="105">
        <f t="shared" si="3"/>
        <v>42563</v>
      </c>
      <c r="D48" s="110" t="s">
        <v>400</v>
      </c>
      <c r="E48" s="105">
        <v>42563</v>
      </c>
      <c r="F48" s="109" t="s">
        <v>447</v>
      </c>
      <c r="G48" s="298" t="s">
        <v>449</v>
      </c>
      <c r="H48" s="4" t="s">
        <v>397</v>
      </c>
      <c r="I48" s="133">
        <v>5979</v>
      </c>
      <c r="J48" s="133">
        <v>8900</v>
      </c>
      <c r="K48" s="13">
        <f>ROUND(I48*J48,0)</f>
        <v>53213100</v>
      </c>
      <c r="L48" s="113" t="s">
        <v>153</v>
      </c>
      <c r="M48" s="113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>x</v>
      </c>
      <c r="Z48" s="563">
        <v>3</v>
      </c>
    </row>
    <row r="49" spans="1:26" ht="15.75" customHeight="1">
      <c r="A49" s="120" t="str">
        <f>IF(B49&lt;&gt;"",IF(AND(B49&gt;=_TM1,B49&lt;=_TM2,OR(TH!L49="1111",TH!M49="1111")),TH!D49,""),"")</f>
        <v/>
      </c>
      <c r="B49" s="12">
        <f t="shared" si="2"/>
        <v>7</v>
      </c>
      <c r="C49" s="105">
        <f t="shared" si="3"/>
        <v>42563</v>
      </c>
      <c r="D49" s="110" t="s">
        <v>400</v>
      </c>
      <c r="E49" s="105">
        <v>42563</v>
      </c>
      <c r="F49" s="109" t="s">
        <v>448</v>
      </c>
      <c r="G49" s="298" t="s">
        <v>449</v>
      </c>
      <c r="H49" s="4" t="s">
        <v>397</v>
      </c>
      <c r="I49" s="133">
        <v>4011</v>
      </c>
      <c r="J49" s="133">
        <v>8500</v>
      </c>
      <c r="K49" s="13">
        <f>ROUND(I49*J49,0)</f>
        <v>34093500</v>
      </c>
      <c r="L49" s="113" t="s">
        <v>153</v>
      </c>
      <c r="M49" s="113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>x</v>
      </c>
      <c r="Z49" s="563">
        <v>3</v>
      </c>
    </row>
    <row r="50" spans="1:26" ht="15.75" customHeight="1">
      <c r="A50" s="120" t="str">
        <f>IF(B50&lt;&gt;"",IF(AND(B50&gt;=_TM1,B50&lt;=_TM2,OR(TH!L50="1111",TH!M50="1111")),TH!D50,""),"")</f>
        <v/>
      </c>
      <c r="B50" s="12">
        <f t="shared" si="2"/>
        <v>7</v>
      </c>
      <c r="C50" s="105">
        <f t="shared" si="3"/>
        <v>42563</v>
      </c>
      <c r="D50" s="110" t="s">
        <v>453</v>
      </c>
      <c r="E50" s="105">
        <v>42563</v>
      </c>
      <c r="F50" s="109" t="s">
        <v>398</v>
      </c>
      <c r="G50" s="298" t="s">
        <v>449</v>
      </c>
      <c r="H50" s="4" t="s">
        <v>397</v>
      </c>
      <c r="I50" s="133"/>
      <c r="J50" s="133"/>
      <c r="K50" s="401">
        <v>17498020</v>
      </c>
      <c r="L50" s="113" t="s">
        <v>9</v>
      </c>
      <c r="M50" s="113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>x</v>
      </c>
      <c r="Z50" s="563">
        <v>3</v>
      </c>
    </row>
    <row r="51" spans="1:26" ht="15.75" customHeight="1">
      <c r="A51" s="120" t="str">
        <f>IF(B51&lt;&gt;"",IF(AND(B51&gt;=_TM1,B51&lt;=_TM2,OR(TH!L51="1111",TH!M51="1111")),TH!D51,""),"")</f>
        <v/>
      </c>
      <c r="B51" s="12">
        <f t="shared" si="2"/>
        <v>7</v>
      </c>
      <c r="C51" s="105">
        <f t="shared" si="3"/>
        <v>42563</v>
      </c>
      <c r="D51" s="110" t="s">
        <v>323</v>
      </c>
      <c r="E51" s="110">
        <v>42563</v>
      </c>
      <c r="F51" s="111" t="s">
        <v>345</v>
      </c>
      <c r="G51" s="298" t="s">
        <v>626</v>
      </c>
      <c r="H51" s="112" t="s">
        <v>986</v>
      </c>
      <c r="I51" s="133"/>
      <c r="J51" s="133"/>
      <c r="K51" s="13">
        <v>15000000</v>
      </c>
      <c r="L51" s="113" t="s">
        <v>163</v>
      </c>
      <c r="M51" s="113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>x</v>
      </c>
      <c r="Z51" s="563">
        <v>3</v>
      </c>
    </row>
    <row r="52" spans="1:26" ht="15.75" customHeight="1">
      <c r="A52" s="120" t="str">
        <f>IF(B52&lt;&gt;"",IF(AND(B52&gt;=_TM1,B52&lt;=_TM2,OR(TH!L52="1111",TH!M52="1111")),TH!D52,""),"")</f>
        <v/>
      </c>
      <c r="B52" s="12">
        <f t="shared" si="2"/>
        <v>7</v>
      </c>
      <c r="C52" s="105">
        <f t="shared" si="3"/>
        <v>42563</v>
      </c>
      <c r="D52" s="110" t="s">
        <v>323</v>
      </c>
      <c r="E52" s="110">
        <v>42563</v>
      </c>
      <c r="F52" s="111" t="s">
        <v>346</v>
      </c>
      <c r="G52" s="298" t="s">
        <v>626</v>
      </c>
      <c r="H52" s="112" t="s">
        <v>986</v>
      </c>
      <c r="I52" s="133"/>
      <c r="J52" s="133"/>
      <c r="K52" s="13">
        <v>25000000</v>
      </c>
      <c r="L52" s="113" t="s">
        <v>163</v>
      </c>
      <c r="M52" s="113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>x</v>
      </c>
      <c r="Z52" s="563">
        <v>3</v>
      </c>
    </row>
    <row r="53" spans="1:26" ht="15.75" customHeight="1">
      <c r="A53" s="120" t="str">
        <f>IF(B53&lt;&gt;"",IF(AND(B53&gt;=_TM1,B53&lt;=_TM2,OR(TH!L53="1111",TH!M53="1111")),TH!D53,""),"")</f>
        <v/>
      </c>
      <c r="B53" s="12">
        <f t="shared" si="2"/>
        <v>7</v>
      </c>
      <c r="C53" s="105">
        <f t="shared" si="3"/>
        <v>42563</v>
      </c>
      <c r="D53" s="110" t="s">
        <v>323</v>
      </c>
      <c r="E53" s="110">
        <v>42563</v>
      </c>
      <c r="F53" s="111" t="s">
        <v>347</v>
      </c>
      <c r="G53" s="298" t="s">
        <v>626</v>
      </c>
      <c r="H53" s="112" t="s">
        <v>986</v>
      </c>
      <c r="I53" s="133"/>
      <c r="J53" s="133"/>
      <c r="K53" s="13">
        <v>300000000</v>
      </c>
      <c r="L53" s="113" t="s">
        <v>163</v>
      </c>
      <c r="M53" s="113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>x</v>
      </c>
      <c r="Z53" s="563">
        <v>3</v>
      </c>
    </row>
    <row r="54" spans="1:26" ht="15.75" customHeight="1">
      <c r="A54" s="120" t="str">
        <f>IF(B54&lt;&gt;"",IF(AND(B54&gt;=_TM1,B54&lt;=_TM2,OR(TH!L54="1111",TH!M54="1111")),TH!D54,""),"")</f>
        <v/>
      </c>
      <c r="B54" s="12">
        <f t="shared" si="2"/>
        <v>7</v>
      </c>
      <c r="C54" s="105">
        <f t="shared" si="3"/>
        <v>42563</v>
      </c>
      <c r="D54" s="110" t="s">
        <v>323</v>
      </c>
      <c r="E54" s="110">
        <v>42563</v>
      </c>
      <c r="F54" s="111" t="s">
        <v>627</v>
      </c>
      <c r="G54" s="298" t="s">
        <v>626</v>
      </c>
      <c r="H54" s="112" t="s">
        <v>986</v>
      </c>
      <c r="I54" s="133"/>
      <c r="J54" s="133"/>
      <c r="K54" s="13">
        <v>500000000</v>
      </c>
      <c r="L54" s="113" t="s">
        <v>163</v>
      </c>
      <c r="M54" s="113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>x</v>
      </c>
      <c r="Z54" s="563">
        <v>3</v>
      </c>
    </row>
    <row r="55" spans="1:26" ht="15.75" customHeight="1">
      <c r="A55" s="120" t="str">
        <f>IF(B55&lt;&gt;"",IF(AND(B55&gt;=_TM1,B55&lt;=_TM2,OR(TH!L55="1111",TH!M55="1111")),TH!D55,""),"")</f>
        <v/>
      </c>
      <c r="B55" s="12">
        <f t="shared" si="2"/>
        <v>7</v>
      </c>
      <c r="C55" s="105">
        <f t="shared" si="3"/>
        <v>42563</v>
      </c>
      <c r="D55" s="110" t="s">
        <v>323</v>
      </c>
      <c r="E55" s="110">
        <v>42563</v>
      </c>
      <c r="F55" s="111" t="s">
        <v>628</v>
      </c>
      <c r="G55" s="298" t="s">
        <v>626</v>
      </c>
      <c r="H55" s="112" t="s">
        <v>986</v>
      </c>
      <c r="I55" s="133"/>
      <c r="J55" s="133"/>
      <c r="K55" s="13">
        <v>84000000</v>
      </c>
      <c r="L55" s="113" t="s">
        <v>9</v>
      </c>
      <c r="M55" s="113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>x</v>
      </c>
      <c r="Z55" s="563">
        <v>3</v>
      </c>
    </row>
    <row r="56" spans="1:26" ht="15.75" customHeight="1">
      <c r="A56" s="120" t="str">
        <f>IF(B56&lt;&gt;"",IF(AND(B56&gt;=_TM1,B56&lt;=_TM2,OR(TH!L56="1111",TH!M56="1111")),TH!D56,""),"")</f>
        <v/>
      </c>
      <c r="B56" s="12">
        <f t="shared" si="2"/>
        <v>7</v>
      </c>
      <c r="C56" s="105">
        <f t="shared" si="3"/>
        <v>42566</v>
      </c>
      <c r="D56" s="110" t="s">
        <v>457</v>
      </c>
      <c r="E56" s="105">
        <v>42566</v>
      </c>
      <c r="F56" s="109" t="s">
        <v>409</v>
      </c>
      <c r="G56" s="296" t="s">
        <v>408</v>
      </c>
      <c r="H56" s="112" t="s">
        <v>407</v>
      </c>
      <c r="I56" s="133"/>
      <c r="J56" s="133"/>
      <c r="K56" s="401">
        <v>1454545</v>
      </c>
      <c r="L56" s="402" t="s">
        <v>253</v>
      </c>
      <c r="M56" s="402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>x</v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>x</v>
      </c>
      <c r="Z56" s="563">
        <v>3</v>
      </c>
    </row>
    <row r="57" spans="1:26" ht="15.75" customHeight="1">
      <c r="A57" s="120" t="str">
        <f>IF(B57&lt;&gt;"",IF(AND(B57&gt;=_TM1,B57&lt;=_TM2,OR(TH!L57="1111",TH!M57="1111")),TH!D57,""),"")</f>
        <v/>
      </c>
      <c r="B57" s="12">
        <f t="shared" si="2"/>
        <v>7</v>
      </c>
      <c r="C57" s="105">
        <f t="shared" si="3"/>
        <v>42566</v>
      </c>
      <c r="D57" s="110" t="s">
        <v>457</v>
      </c>
      <c r="E57" s="105">
        <v>42566</v>
      </c>
      <c r="F57" s="109" t="s">
        <v>410</v>
      </c>
      <c r="G57" s="296" t="s">
        <v>408</v>
      </c>
      <c r="H57" s="112" t="s">
        <v>407</v>
      </c>
      <c r="I57" s="133"/>
      <c r="J57" s="133"/>
      <c r="K57" s="401">
        <v>145455</v>
      </c>
      <c r="L57" s="402" t="s">
        <v>9</v>
      </c>
      <c r="M57" s="402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>x</v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>x</v>
      </c>
      <c r="Z57" s="563">
        <v>3</v>
      </c>
    </row>
    <row r="58" spans="1:26" ht="15.75" customHeight="1">
      <c r="A58" s="120" t="str">
        <f>IF(B58&lt;&gt;"",IF(AND(B58&gt;=_TM1,B58&lt;=_TM2,OR(TH!L58="1111",TH!M58="1111")),TH!D58,""),"")</f>
        <v/>
      </c>
      <c r="B58" s="12">
        <f t="shared" si="2"/>
        <v>7</v>
      </c>
      <c r="C58" s="105">
        <f t="shared" si="3"/>
        <v>42566</v>
      </c>
      <c r="D58" s="105" t="s">
        <v>550</v>
      </c>
      <c r="E58" s="110">
        <v>42566</v>
      </c>
      <c r="F58" s="111" t="s">
        <v>491</v>
      </c>
      <c r="G58" s="296" t="s">
        <v>697</v>
      </c>
      <c r="H58" s="17" t="s">
        <v>493</v>
      </c>
      <c r="I58" s="133">
        <v>73</v>
      </c>
      <c r="J58" s="133">
        <v>21849</v>
      </c>
      <c r="K58" s="13">
        <f>ROUND(I58*J58,0)</f>
        <v>1594977</v>
      </c>
      <c r="L58" s="113" t="s">
        <v>251</v>
      </c>
      <c r="M58" s="402" t="s">
        <v>168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>x</v>
      </c>
      <c r="Z58" s="563"/>
    </row>
    <row r="59" spans="1:26" ht="15.75" customHeight="1">
      <c r="A59" s="120" t="str">
        <f>IF(B59&lt;&gt;"",IF(AND(B59&gt;=_TM1,B59&lt;=_TM2,OR(TH!L59="1111",TH!M59="1111")),TH!D59,""),"")</f>
        <v/>
      </c>
      <c r="B59" s="12">
        <f t="shared" si="2"/>
        <v>7</v>
      </c>
      <c r="C59" s="105">
        <f t="shared" si="3"/>
        <v>42566</v>
      </c>
      <c r="D59" s="105" t="s">
        <v>550</v>
      </c>
      <c r="E59" s="110">
        <v>42566</v>
      </c>
      <c r="F59" s="111" t="s">
        <v>492</v>
      </c>
      <c r="G59" s="296" t="s">
        <v>697</v>
      </c>
      <c r="H59" s="17" t="s">
        <v>493</v>
      </c>
      <c r="I59" s="133"/>
      <c r="J59" s="133"/>
      <c r="K59" s="13">
        <v>159497</v>
      </c>
      <c r="L59" s="113" t="s">
        <v>251</v>
      </c>
      <c r="M59" s="402" t="s">
        <v>350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>x</v>
      </c>
      <c r="Z59" s="563"/>
    </row>
    <row r="60" spans="1:26" ht="15.75" customHeight="1">
      <c r="A60" s="120" t="str">
        <f>IF(B60&lt;&gt;"",IF(AND(B60&gt;=_TM1,B60&lt;=_TM2,OR(TH!L60="1111",TH!M60="1111")),TH!D60,""),"")</f>
        <v/>
      </c>
      <c r="B60" s="12">
        <f t="shared" si="2"/>
        <v>7</v>
      </c>
      <c r="C60" s="105">
        <f t="shared" si="3"/>
        <v>42566</v>
      </c>
      <c r="D60" s="105" t="s">
        <v>344</v>
      </c>
      <c r="E60" s="110">
        <v>42566</v>
      </c>
      <c r="F60" s="111" t="s">
        <v>482</v>
      </c>
      <c r="G60" s="296" t="s">
        <v>697</v>
      </c>
      <c r="H60" s="17" t="s">
        <v>493</v>
      </c>
      <c r="I60" s="133"/>
      <c r="J60" s="133"/>
      <c r="K60" s="13">
        <v>1754474</v>
      </c>
      <c r="L60" s="113" t="s">
        <v>46</v>
      </c>
      <c r="M60" s="402" t="s">
        <v>251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>x</v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>x</v>
      </c>
      <c r="Z60" s="563"/>
    </row>
    <row r="61" spans="1:26" ht="15.75" customHeight="1">
      <c r="A61" s="120" t="str">
        <f>IF(B61&lt;&gt;"",IF(AND(B61&gt;=_TM1,B61&lt;=_TM2,OR(TH!L61="1111",TH!M61="1111")),TH!D61,""),"")</f>
        <v/>
      </c>
      <c r="B61" s="12">
        <f t="shared" si="2"/>
        <v>7</v>
      </c>
      <c r="C61" s="105">
        <f t="shared" si="3"/>
        <v>42566</v>
      </c>
      <c r="D61" s="105" t="s">
        <v>551</v>
      </c>
      <c r="E61" s="110">
        <v>42566</v>
      </c>
      <c r="F61" s="109" t="s">
        <v>495</v>
      </c>
      <c r="G61" s="296" t="s">
        <v>698</v>
      </c>
      <c r="H61" s="4" t="s">
        <v>367</v>
      </c>
      <c r="I61" s="133">
        <v>100</v>
      </c>
      <c r="J61" s="133">
        <v>10000</v>
      </c>
      <c r="K61" s="13">
        <f>ROUND(I61*J61,0)</f>
        <v>1000000</v>
      </c>
      <c r="L61" s="113" t="s">
        <v>251</v>
      </c>
      <c r="M61" s="402" t="s">
        <v>168</v>
      </c>
      <c r="N61" s="22" t="str">
        <f>IF(AND('331-CT'!$E$7=TH!H61,OR(L61="331",M61="331")),"331",IF(AND(OR(L61="131",M61="131"),H61='131-CT'!$E$7),"131",""))</f>
        <v>131</v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>x</v>
      </c>
      <c r="Z61" s="563"/>
    </row>
    <row r="62" spans="1:26" ht="15.75" customHeight="1">
      <c r="A62" s="120" t="str">
        <f>IF(B62&lt;&gt;"",IF(AND(B62&gt;=_TM1,B62&lt;=_TM2,OR(TH!L62="1111",TH!M62="1111")),TH!D62,""),"")</f>
        <v/>
      </c>
      <c r="B62" s="12">
        <f t="shared" si="2"/>
        <v>7</v>
      </c>
      <c r="C62" s="105">
        <f t="shared" si="3"/>
        <v>42566</v>
      </c>
      <c r="D62" s="105" t="s">
        <v>551</v>
      </c>
      <c r="E62" s="110">
        <v>42566</v>
      </c>
      <c r="F62" s="109" t="s">
        <v>496</v>
      </c>
      <c r="G62" s="296" t="s">
        <v>698</v>
      </c>
      <c r="H62" s="4" t="s">
        <v>367</v>
      </c>
      <c r="I62" s="133">
        <v>116</v>
      </c>
      <c r="J62" s="133">
        <v>73100</v>
      </c>
      <c r="K62" s="13">
        <f>ROUND(I62*J62,0)</f>
        <v>8479600</v>
      </c>
      <c r="L62" s="113" t="s">
        <v>251</v>
      </c>
      <c r="M62" s="402" t="s">
        <v>168</v>
      </c>
      <c r="N62" s="22" t="str">
        <f>IF(AND('331-CT'!$E$7=TH!H62,OR(L62="331",M62="331")),"331",IF(AND(OR(L62="131",M62="131"),H62='131-CT'!$E$7),"131",""))</f>
        <v>131</v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>x</v>
      </c>
      <c r="Z62" s="563"/>
    </row>
    <row r="63" spans="1:26" ht="15.75" customHeight="1">
      <c r="A63" s="120" t="str">
        <f>IF(B63&lt;&gt;"",IF(AND(B63&gt;=_TM1,B63&lt;=_TM2,OR(TH!L63="1111",TH!M63="1111")),TH!D63,""),"")</f>
        <v/>
      </c>
      <c r="B63" s="12">
        <f t="shared" si="2"/>
        <v>7</v>
      </c>
      <c r="C63" s="105">
        <f t="shared" si="3"/>
        <v>42566</v>
      </c>
      <c r="D63" s="105" t="s">
        <v>551</v>
      </c>
      <c r="E63" s="110">
        <v>42566</v>
      </c>
      <c r="F63" s="109" t="s">
        <v>494</v>
      </c>
      <c r="G63" s="296" t="s">
        <v>698</v>
      </c>
      <c r="H63" s="4" t="s">
        <v>367</v>
      </c>
      <c r="I63" s="133"/>
      <c r="J63" s="133"/>
      <c r="K63" s="13">
        <v>947960</v>
      </c>
      <c r="L63" s="113" t="s">
        <v>251</v>
      </c>
      <c r="M63" s="402" t="s">
        <v>350</v>
      </c>
      <c r="N63" s="22" t="str">
        <f>IF(AND('331-CT'!$E$7=TH!H63,OR(L63="331",M63="331")),"331",IF(AND(OR(L63="131",M63="131"),H63='131-CT'!$E$7),"131",""))</f>
        <v>131</v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>x</v>
      </c>
      <c r="Z63" s="563"/>
    </row>
    <row r="64" spans="1:26" ht="15.75" customHeight="1">
      <c r="A64" s="120" t="str">
        <f>IF(B64&lt;&gt;"",IF(AND(B64&gt;=_TM1,B64&lt;=_TM2,OR(TH!L64="1111",TH!M64="1111")),TH!D64,""),"")</f>
        <v/>
      </c>
      <c r="B64" s="12">
        <f t="shared" si="2"/>
        <v>7</v>
      </c>
      <c r="C64" s="105">
        <f t="shared" si="3"/>
        <v>42566</v>
      </c>
      <c r="D64" s="105" t="s">
        <v>348</v>
      </c>
      <c r="E64" s="110">
        <v>42566</v>
      </c>
      <c r="F64" s="111" t="s">
        <v>482</v>
      </c>
      <c r="G64" s="296" t="s">
        <v>698</v>
      </c>
      <c r="H64" s="4" t="s">
        <v>367</v>
      </c>
      <c r="I64" s="133"/>
      <c r="J64" s="133"/>
      <c r="K64" s="13">
        <v>10427560</v>
      </c>
      <c r="L64" s="113" t="s">
        <v>46</v>
      </c>
      <c r="M64" s="402" t="s">
        <v>251</v>
      </c>
      <c r="N64" s="22" t="str">
        <f>IF(AND('331-CT'!$E$7=TH!H64,OR(L64="331",M64="331")),"331",IF(AND(OR(L64="131",M64="131"),H64='131-CT'!$E$7),"131",""))</f>
        <v>131</v>
      </c>
      <c r="O64" s="22" t="str">
        <f>IF(AND($B64&gt;='111'!$N$11,$B64&lt;='111'!$O$11,OR($L64=$O$7,$M64=$O$7)),"x","")</f>
        <v/>
      </c>
      <c r="P64" s="22" t="str">
        <f>IF(AND($L64=$O$7,$B64&lt;'111'!$N$11),"x","")</f>
        <v>x</v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563"/>
    </row>
    <row r="65" spans="1:26" ht="15.75" customHeight="1">
      <c r="A65" s="120" t="str">
        <f>IF(B65&lt;&gt;"",IF(AND(B65&gt;=_TM1,B65&lt;=_TM2,OR(TH!L65="1111",TH!M65="1111")),TH!D65,""),"")</f>
        <v/>
      </c>
      <c r="B65" s="12">
        <f t="shared" si="2"/>
        <v>7</v>
      </c>
      <c r="C65" s="105">
        <f t="shared" si="3"/>
        <v>42566</v>
      </c>
      <c r="D65" s="105" t="s">
        <v>552</v>
      </c>
      <c r="E65" s="110">
        <v>42566</v>
      </c>
      <c r="F65" s="109" t="s">
        <v>497</v>
      </c>
      <c r="G65" s="296" t="s">
        <v>699</v>
      </c>
      <c r="H65" s="4" t="s">
        <v>369</v>
      </c>
      <c r="I65" s="133">
        <v>220</v>
      </c>
      <c r="J65" s="133">
        <v>28000</v>
      </c>
      <c r="K65" s="13">
        <f>ROUND(I65*J65,0)</f>
        <v>6160000</v>
      </c>
      <c r="L65" s="113" t="s">
        <v>251</v>
      </c>
      <c r="M65" s="402" t="s">
        <v>168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563"/>
    </row>
    <row r="66" spans="1:26" ht="15.75" customHeight="1">
      <c r="A66" s="120" t="str">
        <f>IF(B66&lt;&gt;"",IF(AND(B66&gt;=_TM1,B66&lt;=_TM2,OR(TH!L66="1111",TH!M66="1111")),TH!D66,""),"")</f>
        <v/>
      </c>
      <c r="B66" s="12">
        <f t="shared" si="2"/>
        <v>7</v>
      </c>
      <c r="C66" s="105">
        <f t="shared" si="3"/>
        <v>42566</v>
      </c>
      <c r="D66" s="105" t="s">
        <v>552</v>
      </c>
      <c r="E66" s="110">
        <v>42566</v>
      </c>
      <c r="F66" s="109" t="s">
        <v>498</v>
      </c>
      <c r="G66" s="296" t="s">
        <v>699</v>
      </c>
      <c r="H66" s="4" t="s">
        <v>369</v>
      </c>
      <c r="I66" s="133">
        <v>357</v>
      </c>
      <c r="J66" s="133">
        <v>9600</v>
      </c>
      <c r="K66" s="13">
        <f>ROUND(I66*J66,0)</f>
        <v>3427200</v>
      </c>
      <c r="L66" s="113" t="s">
        <v>251</v>
      </c>
      <c r="M66" s="402" t="s">
        <v>168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563"/>
    </row>
    <row r="67" spans="1:26" ht="15.75" customHeight="1">
      <c r="A67" s="120" t="str">
        <f>IF(B67&lt;&gt;"",IF(AND(B67&gt;=_TM1,B67&lt;=_TM2,OR(TH!L67="1111",TH!M67="1111")),TH!D67,""),"")</f>
        <v/>
      </c>
      <c r="B67" s="12">
        <f t="shared" si="2"/>
        <v>7</v>
      </c>
      <c r="C67" s="105">
        <f t="shared" si="3"/>
        <v>42566</v>
      </c>
      <c r="D67" s="105" t="s">
        <v>552</v>
      </c>
      <c r="E67" s="110">
        <v>42566</v>
      </c>
      <c r="F67" s="109" t="s">
        <v>499</v>
      </c>
      <c r="G67" s="296" t="s">
        <v>699</v>
      </c>
      <c r="H67" s="4" t="s">
        <v>369</v>
      </c>
      <c r="I67" s="133">
        <v>70</v>
      </c>
      <c r="J67" s="133">
        <v>14400</v>
      </c>
      <c r="K67" s="13">
        <f>ROUND(I67*J67,0)</f>
        <v>1008000</v>
      </c>
      <c r="L67" s="113" t="s">
        <v>251</v>
      </c>
      <c r="M67" s="402" t="s">
        <v>168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563"/>
    </row>
    <row r="68" spans="1:26" ht="15.75" customHeight="1">
      <c r="A68" s="120" t="str">
        <f>IF(B68&lt;&gt;"",IF(AND(B68&gt;=_TM1,B68&lt;=_TM2,OR(TH!L68="1111",TH!M68="1111")),TH!D68,""),"")</f>
        <v/>
      </c>
      <c r="B68" s="12">
        <f t="shared" si="2"/>
        <v>7</v>
      </c>
      <c r="C68" s="105">
        <f t="shared" si="3"/>
        <v>42567</v>
      </c>
      <c r="D68" s="105" t="s">
        <v>552</v>
      </c>
      <c r="E68" s="110">
        <v>42567</v>
      </c>
      <c r="F68" s="109" t="s">
        <v>494</v>
      </c>
      <c r="G68" s="296" t="s">
        <v>699</v>
      </c>
      <c r="H68" s="4" t="s">
        <v>369</v>
      </c>
      <c r="I68" s="133"/>
      <c r="J68" s="133"/>
      <c r="K68" s="13">
        <v>1059520</v>
      </c>
      <c r="L68" s="113" t="s">
        <v>251</v>
      </c>
      <c r="M68" s="402" t="s">
        <v>350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563"/>
    </row>
    <row r="69" spans="1:26" ht="15.75" customHeight="1">
      <c r="A69" s="120" t="str">
        <f>IF(B69&lt;&gt;"",IF(AND(B69&gt;=_TM1,B69&lt;=_TM2,OR(TH!L69="1111",TH!M69="1111")),TH!D69,""),"")</f>
        <v/>
      </c>
      <c r="B69" s="12">
        <f t="shared" si="2"/>
        <v>7</v>
      </c>
      <c r="C69" s="105">
        <f t="shared" si="3"/>
        <v>42567</v>
      </c>
      <c r="D69" s="105" t="s">
        <v>553</v>
      </c>
      <c r="E69" s="110">
        <v>42567</v>
      </c>
      <c r="F69" s="109" t="s">
        <v>500</v>
      </c>
      <c r="G69" s="296" t="s">
        <v>700</v>
      </c>
      <c r="H69" s="4" t="s">
        <v>365</v>
      </c>
      <c r="I69" s="133">
        <v>300</v>
      </c>
      <c r="J69" s="133">
        <v>13400</v>
      </c>
      <c r="K69" s="13">
        <f>ROUND(I69*J69,0)</f>
        <v>4020000</v>
      </c>
      <c r="L69" s="113" t="s">
        <v>251</v>
      </c>
      <c r="M69" s="402" t="s">
        <v>168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563"/>
    </row>
    <row r="70" spans="1:26" ht="15.75" customHeight="1">
      <c r="A70" s="120" t="str">
        <f>IF(B70&lt;&gt;"",IF(AND(B70&gt;=_TM1,B70&lt;=_TM2,OR(TH!L70="1111",TH!M70="1111")),TH!D70,""),"")</f>
        <v/>
      </c>
      <c r="B70" s="12">
        <f t="shared" si="2"/>
        <v>7</v>
      </c>
      <c r="C70" s="105">
        <f t="shared" si="3"/>
        <v>42567</v>
      </c>
      <c r="D70" s="105" t="s">
        <v>553</v>
      </c>
      <c r="E70" s="110">
        <v>42567</v>
      </c>
      <c r="F70" s="109" t="s">
        <v>500</v>
      </c>
      <c r="G70" s="296" t="s">
        <v>700</v>
      </c>
      <c r="H70" s="4" t="s">
        <v>365</v>
      </c>
      <c r="I70" s="133">
        <v>500</v>
      </c>
      <c r="J70" s="133">
        <v>13800</v>
      </c>
      <c r="K70" s="13">
        <f>ROUND(I70*J70,0)</f>
        <v>6900000</v>
      </c>
      <c r="L70" s="113" t="s">
        <v>251</v>
      </c>
      <c r="M70" s="402" t="s">
        <v>168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563"/>
    </row>
    <row r="71" spans="1:26" ht="15.75" customHeight="1">
      <c r="A71" s="120" t="str">
        <f>IF(B71&lt;&gt;"",IF(AND(B71&gt;=_TM1,B71&lt;=_TM2,OR(TH!L71="1111",TH!M71="1111")),TH!D71,""),"")</f>
        <v/>
      </c>
      <c r="B71" s="12">
        <f t="shared" si="2"/>
        <v>7</v>
      </c>
      <c r="C71" s="105">
        <f t="shared" si="3"/>
        <v>42567</v>
      </c>
      <c r="D71" s="105" t="s">
        <v>553</v>
      </c>
      <c r="E71" s="110">
        <v>42567</v>
      </c>
      <c r="F71" s="109" t="s">
        <v>375</v>
      </c>
      <c r="G71" s="296" t="s">
        <v>700</v>
      </c>
      <c r="H71" s="4" t="s">
        <v>365</v>
      </c>
      <c r="I71" s="133">
        <v>1600</v>
      </c>
      <c r="J71" s="133">
        <v>1300</v>
      </c>
      <c r="K71" s="13">
        <f>ROUND(I71*J71,0)</f>
        <v>2080000</v>
      </c>
      <c r="L71" s="113" t="s">
        <v>251</v>
      </c>
      <c r="M71" s="402" t="s">
        <v>168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563"/>
    </row>
    <row r="72" spans="1:26" ht="15.75" customHeight="1">
      <c r="A72" s="120" t="str">
        <f>IF(B72&lt;&gt;"",IF(AND(B72&gt;=_TM1,B72&lt;=_TM2,OR(TH!L72="1111",TH!M72="1111")),TH!D72,""),"")</f>
        <v/>
      </c>
      <c r="B72" s="12">
        <f t="shared" si="2"/>
        <v>7</v>
      </c>
      <c r="C72" s="105">
        <f t="shared" si="3"/>
        <v>42567</v>
      </c>
      <c r="D72" s="105" t="s">
        <v>553</v>
      </c>
      <c r="E72" s="110">
        <v>42567</v>
      </c>
      <c r="F72" s="109" t="s">
        <v>494</v>
      </c>
      <c r="G72" s="296" t="s">
        <v>700</v>
      </c>
      <c r="H72" s="4" t="s">
        <v>365</v>
      </c>
      <c r="I72" s="133"/>
      <c r="J72" s="133"/>
      <c r="K72" s="13">
        <v>1300000</v>
      </c>
      <c r="L72" s="113" t="s">
        <v>251</v>
      </c>
      <c r="M72" s="402" t="s">
        <v>350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563"/>
    </row>
    <row r="73" spans="1:26" ht="15.75" customHeight="1">
      <c r="A73" s="120" t="str">
        <f>IF(B73&lt;&gt;"",IF(AND(B73&gt;=_TM1,B73&lt;=_TM2,OR(TH!L73="1111",TH!M73="1111")),TH!D73,""),"")</f>
        <v/>
      </c>
      <c r="B73" s="12">
        <f t="shared" si="2"/>
        <v>7</v>
      </c>
      <c r="C73" s="105">
        <f t="shared" si="3"/>
        <v>42567</v>
      </c>
      <c r="D73" s="105" t="s">
        <v>554</v>
      </c>
      <c r="E73" s="110">
        <v>42567</v>
      </c>
      <c r="F73" s="109" t="s">
        <v>501</v>
      </c>
      <c r="G73" s="296" t="s">
        <v>701</v>
      </c>
      <c r="H73" s="4" t="s">
        <v>366</v>
      </c>
      <c r="I73" s="133">
        <v>1005</v>
      </c>
      <c r="J73" s="133">
        <v>11000</v>
      </c>
      <c r="K73" s="13">
        <f>ROUND(I73*J73,0)</f>
        <v>11055000</v>
      </c>
      <c r="L73" s="113" t="s">
        <v>251</v>
      </c>
      <c r="M73" s="402" t="s">
        <v>168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563"/>
    </row>
    <row r="74" spans="1:26" ht="15.75" customHeight="1">
      <c r="A74" s="120" t="str">
        <f>IF(B74&lt;&gt;"",IF(AND(B74&gt;=_TM1,B74&lt;=_TM2,OR(TH!L74="1111",TH!M74="1111")),TH!D74,""),"")</f>
        <v/>
      </c>
      <c r="B74" s="12">
        <f t="shared" si="2"/>
        <v>7</v>
      </c>
      <c r="C74" s="105">
        <f t="shared" si="3"/>
        <v>42567</v>
      </c>
      <c r="D74" s="105" t="s">
        <v>554</v>
      </c>
      <c r="E74" s="110">
        <v>42567</v>
      </c>
      <c r="F74" s="109" t="s">
        <v>494</v>
      </c>
      <c r="G74" s="296" t="s">
        <v>701</v>
      </c>
      <c r="H74" s="4" t="s">
        <v>366</v>
      </c>
      <c r="I74" s="133"/>
      <c r="J74" s="133"/>
      <c r="K74" s="13">
        <v>1105500</v>
      </c>
      <c r="L74" s="113" t="s">
        <v>251</v>
      </c>
      <c r="M74" s="402" t="s">
        <v>350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563"/>
    </row>
    <row r="75" spans="1:26" ht="15.75" customHeight="1">
      <c r="A75" s="120" t="str">
        <f>IF(B75&lt;&gt;"",IF(AND(B75&gt;=_TM1,B75&lt;=_TM2,OR(TH!L75="1111",TH!M75="1111")),TH!D75,""),"")</f>
        <v/>
      </c>
      <c r="B75" s="12">
        <f t="shared" si="2"/>
        <v>7</v>
      </c>
      <c r="C75" s="105">
        <f t="shared" si="3"/>
        <v>42569</v>
      </c>
      <c r="D75" s="105" t="s">
        <v>555</v>
      </c>
      <c r="E75" s="110">
        <v>42569</v>
      </c>
      <c r="F75" s="109" t="s">
        <v>502</v>
      </c>
      <c r="G75" s="296" t="s">
        <v>702</v>
      </c>
      <c r="H75" s="4" t="s">
        <v>615</v>
      </c>
      <c r="I75" s="133">
        <v>254</v>
      </c>
      <c r="J75" s="133">
        <v>10300</v>
      </c>
      <c r="K75" s="13">
        <f>ROUND(I75*J75,0)</f>
        <v>2616200</v>
      </c>
      <c r="L75" s="113" t="s">
        <v>251</v>
      </c>
      <c r="M75" s="402" t="s">
        <v>168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563"/>
    </row>
    <row r="76" spans="1:26" ht="15.75" customHeight="1">
      <c r="A76" s="120" t="str">
        <f>IF(B76&lt;&gt;"",IF(AND(B76&gt;=_TM1,B76&lt;=_TM2,OR(TH!L76="1111",TH!M76="1111")),TH!D76,""),"")</f>
        <v/>
      </c>
      <c r="B76" s="12">
        <f t="shared" si="2"/>
        <v>7</v>
      </c>
      <c r="C76" s="105">
        <f t="shared" si="3"/>
        <v>42569</v>
      </c>
      <c r="D76" s="105" t="s">
        <v>555</v>
      </c>
      <c r="E76" s="110">
        <v>42569</v>
      </c>
      <c r="F76" s="109" t="s">
        <v>494</v>
      </c>
      <c r="G76" s="296" t="s">
        <v>702</v>
      </c>
      <c r="H76" s="4" t="s">
        <v>615</v>
      </c>
      <c r="I76" s="133"/>
      <c r="J76" s="133"/>
      <c r="K76" s="13">
        <v>261620</v>
      </c>
      <c r="L76" s="113" t="s">
        <v>251</v>
      </c>
      <c r="M76" s="402" t="s">
        <v>350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563"/>
    </row>
    <row r="77" spans="1:26" ht="15.75" customHeight="1">
      <c r="A77" s="120" t="str">
        <f>IF(B77&lt;&gt;"",IF(AND(B77&gt;=_TM1,B77&lt;=_TM2,OR(TH!L77="1111",TH!M77="1111")),TH!D77,""),"")</f>
        <v/>
      </c>
      <c r="B77" s="12">
        <f t="shared" si="2"/>
        <v>7</v>
      </c>
      <c r="C77" s="105">
        <f t="shared" si="3"/>
        <v>42569</v>
      </c>
      <c r="D77" s="105" t="s">
        <v>641</v>
      </c>
      <c r="E77" s="110">
        <v>42569</v>
      </c>
      <c r="F77" s="111" t="s">
        <v>482</v>
      </c>
      <c r="G77" s="296" t="s">
        <v>702</v>
      </c>
      <c r="H77" s="4" t="s">
        <v>615</v>
      </c>
      <c r="I77" s="133"/>
      <c r="J77" s="133"/>
      <c r="K77" s="13">
        <v>2877820</v>
      </c>
      <c r="L77" s="113" t="s">
        <v>46</v>
      </c>
      <c r="M77" s="402" t="s">
        <v>251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/>
      </c>
      <c r="P77" s="22" t="str">
        <f>IF(AND($L77=$O$7,$B77&lt;'111'!$N$11),"x","")</f>
        <v>x</v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563"/>
    </row>
    <row r="78" spans="1:26" ht="15.75" customHeight="1">
      <c r="A78" s="120" t="str">
        <f>IF(B78&lt;&gt;"",IF(AND(B78&gt;=_TM1,B78&lt;=_TM2,OR(TH!L78="1111",TH!M78="1111")),TH!D78,""),"")</f>
        <v/>
      </c>
      <c r="B78" s="12">
        <f t="shared" si="2"/>
        <v>7</v>
      </c>
      <c r="C78" s="105">
        <f t="shared" si="3"/>
        <v>42569</v>
      </c>
      <c r="D78" s="105" t="s">
        <v>556</v>
      </c>
      <c r="E78" s="110">
        <v>42569</v>
      </c>
      <c r="F78" s="109" t="s">
        <v>503</v>
      </c>
      <c r="G78" s="296" t="s">
        <v>703</v>
      </c>
      <c r="H78" s="4" t="s">
        <v>615</v>
      </c>
      <c r="I78" s="133">
        <v>75</v>
      </c>
      <c r="J78" s="133">
        <v>10800</v>
      </c>
      <c r="K78" s="13">
        <f>ROUND(I78*J78,0)</f>
        <v>810000</v>
      </c>
      <c r="L78" s="113" t="s">
        <v>251</v>
      </c>
      <c r="M78" s="402" t="s">
        <v>168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563"/>
    </row>
    <row r="79" spans="1:26" ht="15.75" customHeight="1">
      <c r="A79" s="120" t="str">
        <f>IF(B79&lt;&gt;"",IF(AND(B79&gt;=_TM1,B79&lt;=_TM2,OR(TH!L79="1111",TH!M79="1111")),TH!D79,""),"")</f>
        <v/>
      </c>
      <c r="B79" s="12">
        <f t="shared" si="2"/>
        <v>7</v>
      </c>
      <c r="C79" s="105">
        <f t="shared" si="3"/>
        <v>42569</v>
      </c>
      <c r="D79" s="105" t="s">
        <v>556</v>
      </c>
      <c r="E79" s="110">
        <v>42569</v>
      </c>
      <c r="F79" s="109" t="s">
        <v>494</v>
      </c>
      <c r="G79" s="296" t="s">
        <v>703</v>
      </c>
      <c r="H79" s="4" t="s">
        <v>615</v>
      </c>
      <c r="I79" s="133"/>
      <c r="J79" s="133"/>
      <c r="K79" s="13">
        <v>81000</v>
      </c>
      <c r="L79" s="113" t="s">
        <v>251</v>
      </c>
      <c r="M79" s="402" t="s">
        <v>350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563"/>
    </row>
    <row r="80" spans="1:26" ht="15.75" customHeight="1">
      <c r="A80" s="120" t="str">
        <f>IF(B80&lt;&gt;"",IF(AND(B80&gt;=_TM1,B80&lt;=_TM2,OR(TH!L80="1111",TH!M80="1111")),TH!D80,""),"")</f>
        <v/>
      </c>
      <c r="B80" s="12">
        <f t="shared" si="2"/>
        <v>7</v>
      </c>
      <c r="C80" s="105">
        <f t="shared" si="3"/>
        <v>42569</v>
      </c>
      <c r="D80" s="105" t="s">
        <v>987</v>
      </c>
      <c r="E80" s="110">
        <v>42569</v>
      </c>
      <c r="F80" s="111" t="s">
        <v>482</v>
      </c>
      <c r="G80" s="296" t="s">
        <v>703</v>
      </c>
      <c r="H80" s="4" t="s">
        <v>615</v>
      </c>
      <c r="I80" s="133"/>
      <c r="J80" s="133"/>
      <c r="K80" s="13">
        <v>891000</v>
      </c>
      <c r="L80" s="113" t="s">
        <v>46</v>
      </c>
      <c r="M80" s="402" t="s">
        <v>251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/>
      </c>
      <c r="P80" s="22" t="str">
        <f>IF(AND($L80=$O$7,$B80&lt;'111'!$N$11),"x","")</f>
        <v>x</v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563"/>
    </row>
    <row r="81" spans="1:26" ht="15.75" customHeight="1">
      <c r="A81" s="120" t="str">
        <f>IF(B81&lt;&gt;"",IF(AND(B81&gt;=_TM1,B81&lt;=_TM2,OR(TH!L81="1111",TH!M81="1111")),TH!D81,""),"")</f>
        <v/>
      </c>
      <c r="B81" s="12">
        <f t="shared" ref="B81:B144" si="4">IF(C81&lt;&gt;"",MONTH(C81),"")</f>
        <v>7</v>
      </c>
      <c r="C81" s="105">
        <f t="shared" si="3"/>
        <v>42571</v>
      </c>
      <c r="D81" s="105" t="s">
        <v>557</v>
      </c>
      <c r="E81" s="110">
        <v>42571</v>
      </c>
      <c r="F81" s="109" t="s">
        <v>506</v>
      </c>
      <c r="G81" s="296" t="s">
        <v>704</v>
      </c>
      <c r="H81" s="4" t="s">
        <v>504</v>
      </c>
      <c r="I81" s="133">
        <v>500</v>
      </c>
      <c r="J81" s="133">
        <v>3200</v>
      </c>
      <c r="K81" s="13">
        <f>ROUND(I81*J81,0)</f>
        <v>1600000</v>
      </c>
      <c r="L81" s="113" t="s">
        <v>251</v>
      </c>
      <c r="M81" s="402" t="s">
        <v>168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563"/>
    </row>
    <row r="82" spans="1:26" ht="15.75" customHeight="1">
      <c r="A82" s="120" t="str">
        <f>IF(B82&lt;&gt;"",IF(AND(B82&gt;=_TM1,B82&lt;=_TM2,OR(TH!L82="1111",TH!M82="1111")),TH!D82,""),"")</f>
        <v/>
      </c>
      <c r="B82" s="12">
        <f t="shared" si="4"/>
        <v>7</v>
      </c>
      <c r="C82" s="105">
        <f t="shared" si="3"/>
        <v>42571</v>
      </c>
      <c r="D82" s="105" t="s">
        <v>557</v>
      </c>
      <c r="E82" s="110">
        <v>42571</v>
      </c>
      <c r="F82" s="109" t="s">
        <v>507</v>
      </c>
      <c r="G82" s="296" t="s">
        <v>704</v>
      </c>
      <c r="H82" s="4" t="s">
        <v>504</v>
      </c>
      <c r="I82" s="133">
        <v>300</v>
      </c>
      <c r="J82" s="133">
        <v>2200</v>
      </c>
      <c r="K82" s="13">
        <f>ROUND(I82*J82,0)</f>
        <v>660000</v>
      </c>
      <c r="L82" s="113" t="s">
        <v>251</v>
      </c>
      <c r="M82" s="402" t="s">
        <v>168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563"/>
    </row>
    <row r="83" spans="1:26" ht="15.75" customHeight="1">
      <c r="A83" s="120" t="str">
        <f>IF(B83&lt;&gt;"",IF(AND(B83&gt;=_TM1,B83&lt;=_TM2,OR(TH!L83="1111",TH!M83="1111")),TH!D83,""),"")</f>
        <v/>
      </c>
      <c r="B83" s="12">
        <f t="shared" si="4"/>
        <v>7</v>
      </c>
      <c r="C83" s="105">
        <f t="shared" si="3"/>
        <v>42571</v>
      </c>
      <c r="D83" s="105" t="s">
        <v>557</v>
      </c>
      <c r="E83" s="110">
        <v>42571</v>
      </c>
      <c r="F83" s="109" t="s">
        <v>505</v>
      </c>
      <c r="G83" s="296" t="s">
        <v>704</v>
      </c>
      <c r="H83" s="4" t="s">
        <v>504</v>
      </c>
      <c r="I83" s="133"/>
      <c r="J83" s="133"/>
      <c r="K83" s="13">
        <v>226000</v>
      </c>
      <c r="L83" s="113" t="s">
        <v>251</v>
      </c>
      <c r="M83" s="402" t="s">
        <v>350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563"/>
    </row>
    <row r="84" spans="1:26" ht="15.75" customHeight="1">
      <c r="A84" s="120" t="str">
        <f>IF(B84&lt;&gt;"",IF(AND(B84&gt;=_TM1,B84&lt;=_TM2,OR(TH!L84="1111",TH!M84="1111")),TH!D84,""),"")</f>
        <v/>
      </c>
      <c r="B84" s="12">
        <f t="shared" si="4"/>
        <v>7</v>
      </c>
      <c r="C84" s="105">
        <f t="shared" si="3"/>
        <v>42571</v>
      </c>
      <c r="D84" s="105" t="s">
        <v>988</v>
      </c>
      <c r="E84" s="110">
        <v>42571</v>
      </c>
      <c r="F84" s="111" t="s">
        <v>482</v>
      </c>
      <c r="G84" s="296" t="s">
        <v>704</v>
      </c>
      <c r="H84" s="4" t="s">
        <v>504</v>
      </c>
      <c r="I84" s="133"/>
      <c r="J84" s="133"/>
      <c r="K84" s="13">
        <v>2486000</v>
      </c>
      <c r="L84" s="113" t="s">
        <v>46</v>
      </c>
      <c r="M84" s="402" t="s">
        <v>251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/>
      </c>
      <c r="P84" s="22" t="str">
        <f>IF(AND($L84=$O$7,$B84&lt;'111'!$N$11),"x","")</f>
        <v>x</v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563"/>
    </row>
    <row r="85" spans="1:26" ht="15.75" customHeight="1">
      <c r="A85" s="120" t="str">
        <f>IF(B85&lt;&gt;"",IF(AND(B85&gt;=_TM1,B85&lt;=_TM2,OR(TH!L85="1111",TH!M85="1111")),TH!D85,""),"")</f>
        <v/>
      </c>
      <c r="B85" s="12">
        <f t="shared" si="4"/>
        <v>7</v>
      </c>
      <c r="C85" s="105">
        <f t="shared" si="3"/>
        <v>42571</v>
      </c>
      <c r="D85" s="105" t="s">
        <v>558</v>
      </c>
      <c r="E85" s="110">
        <v>42571</v>
      </c>
      <c r="F85" s="109" t="s">
        <v>508</v>
      </c>
      <c r="G85" s="296" t="s">
        <v>705</v>
      </c>
      <c r="H85" s="4" t="s">
        <v>688</v>
      </c>
      <c r="I85" s="133">
        <v>1559</v>
      </c>
      <c r="J85" s="133">
        <v>5900</v>
      </c>
      <c r="K85" s="13">
        <f>ROUND(I85*J85,0)</f>
        <v>9198100</v>
      </c>
      <c r="L85" s="113" t="s">
        <v>251</v>
      </c>
      <c r="M85" s="402" t="s">
        <v>168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563"/>
    </row>
    <row r="86" spans="1:26" ht="15.75" customHeight="1">
      <c r="A86" s="120" t="str">
        <f>IF(B86&lt;&gt;"",IF(AND(B86&gt;=_TM1,B86&lt;=_TM2,OR(TH!L86="1111",TH!M86="1111")),TH!D86,""),"")</f>
        <v/>
      </c>
      <c r="B86" s="12">
        <f t="shared" si="4"/>
        <v>7</v>
      </c>
      <c r="C86" s="105">
        <f t="shared" si="3"/>
        <v>42571</v>
      </c>
      <c r="D86" s="105" t="s">
        <v>558</v>
      </c>
      <c r="E86" s="110">
        <v>42571</v>
      </c>
      <c r="F86" s="109" t="s">
        <v>494</v>
      </c>
      <c r="G86" s="296" t="s">
        <v>705</v>
      </c>
      <c r="H86" s="4" t="s">
        <v>688</v>
      </c>
      <c r="I86" s="133"/>
      <c r="J86" s="133"/>
      <c r="K86" s="13">
        <v>919810</v>
      </c>
      <c r="L86" s="113" t="s">
        <v>251</v>
      </c>
      <c r="M86" s="402" t="s">
        <v>350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563"/>
    </row>
    <row r="87" spans="1:26" ht="15.75" customHeight="1">
      <c r="A87" s="120" t="str">
        <f>IF(B87&lt;&gt;"",IF(AND(B87&gt;=_TM1,B87&lt;=_TM2,OR(TH!L87="1111",TH!M87="1111")),TH!D87,""),"")</f>
        <v/>
      </c>
      <c r="B87" s="12">
        <f t="shared" si="4"/>
        <v>7</v>
      </c>
      <c r="C87" s="105">
        <f t="shared" si="3"/>
        <v>42572</v>
      </c>
      <c r="D87" s="105" t="s">
        <v>559</v>
      </c>
      <c r="E87" s="110">
        <v>42572</v>
      </c>
      <c r="F87" s="109" t="s">
        <v>510</v>
      </c>
      <c r="G87" s="296" t="s">
        <v>706</v>
      </c>
      <c r="H87" s="4" t="s">
        <v>616</v>
      </c>
      <c r="I87" s="133">
        <v>102</v>
      </c>
      <c r="J87" s="133">
        <v>7900</v>
      </c>
      <c r="K87" s="13">
        <f>ROUND(I87*J87,0)</f>
        <v>805800</v>
      </c>
      <c r="L87" s="113" t="s">
        <v>251</v>
      </c>
      <c r="M87" s="402" t="s">
        <v>168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563"/>
    </row>
    <row r="88" spans="1:26" ht="15.75" customHeight="1">
      <c r="A88" s="120" t="str">
        <f>IF(B88&lt;&gt;"",IF(AND(B88&gt;=_TM1,B88&lt;=_TM2,OR(TH!L88="1111",TH!M88="1111")),TH!D88,""),"")</f>
        <v/>
      </c>
      <c r="B88" s="12">
        <f t="shared" si="4"/>
        <v>7</v>
      </c>
      <c r="C88" s="105">
        <f t="shared" si="3"/>
        <v>42572</v>
      </c>
      <c r="D88" s="105" t="s">
        <v>559</v>
      </c>
      <c r="E88" s="110">
        <v>42572</v>
      </c>
      <c r="F88" s="109" t="s">
        <v>509</v>
      </c>
      <c r="G88" s="296" t="s">
        <v>706</v>
      </c>
      <c r="H88" s="4" t="s">
        <v>616</v>
      </c>
      <c r="I88" s="133">
        <v>103</v>
      </c>
      <c r="J88" s="133">
        <v>12900</v>
      </c>
      <c r="K88" s="13">
        <f>ROUND(I88*J88,0)</f>
        <v>1328700</v>
      </c>
      <c r="L88" s="113" t="s">
        <v>251</v>
      </c>
      <c r="M88" s="402" t="s">
        <v>168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563"/>
    </row>
    <row r="89" spans="1:26" ht="15.75" customHeight="1">
      <c r="A89" s="120" t="str">
        <f>IF(B89&lt;&gt;"",IF(AND(B89&gt;=_TM1,B89&lt;=_TM2,OR(TH!L89="1111",TH!M89="1111")),TH!D89,""),"")</f>
        <v/>
      </c>
      <c r="B89" s="12">
        <f t="shared" si="4"/>
        <v>7</v>
      </c>
      <c r="C89" s="105">
        <f t="shared" si="3"/>
        <v>42572</v>
      </c>
      <c r="D89" s="105" t="s">
        <v>559</v>
      </c>
      <c r="E89" s="110">
        <v>42572</v>
      </c>
      <c r="F89" s="109" t="s">
        <v>494</v>
      </c>
      <c r="G89" s="296" t="s">
        <v>706</v>
      </c>
      <c r="H89" s="4" t="s">
        <v>616</v>
      </c>
      <c r="I89" s="133"/>
      <c r="J89" s="133"/>
      <c r="K89" s="13">
        <v>213450</v>
      </c>
      <c r="L89" s="113" t="s">
        <v>251</v>
      </c>
      <c r="M89" s="402" t="s">
        <v>350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563"/>
    </row>
    <row r="90" spans="1:26" ht="15.75" customHeight="1">
      <c r="A90" s="120" t="str">
        <f>IF(B90&lt;&gt;"",IF(AND(B90&gt;=_TM1,B90&lt;=_TM2,OR(TH!L90="1111",TH!M90="1111")),TH!D90,""),"")</f>
        <v/>
      </c>
      <c r="B90" s="12">
        <f t="shared" si="4"/>
        <v>7</v>
      </c>
      <c r="C90" s="105">
        <f t="shared" si="3"/>
        <v>42573</v>
      </c>
      <c r="D90" s="105" t="s">
        <v>560</v>
      </c>
      <c r="E90" s="110">
        <v>42573</v>
      </c>
      <c r="F90" s="109" t="s">
        <v>644</v>
      </c>
      <c r="G90" s="296" t="s">
        <v>707</v>
      </c>
      <c r="H90" s="4" t="s">
        <v>370</v>
      </c>
      <c r="I90" s="133">
        <v>250</v>
      </c>
      <c r="J90" s="133">
        <v>12400</v>
      </c>
      <c r="K90" s="13">
        <f>ROUND(I90*J90,0)</f>
        <v>3100000</v>
      </c>
      <c r="L90" s="113" t="s">
        <v>251</v>
      </c>
      <c r="M90" s="402" t="s">
        <v>168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563"/>
    </row>
    <row r="91" spans="1:26" ht="15.75" customHeight="1">
      <c r="A91" s="120" t="str">
        <f>IF(B91&lt;&gt;"",IF(AND(B91&gt;=_TM1,B91&lt;=_TM2,OR(TH!L91="1111",TH!M91="1111")),TH!D91,""),"")</f>
        <v/>
      </c>
      <c r="B91" s="12">
        <f t="shared" si="4"/>
        <v>7</v>
      </c>
      <c r="C91" s="105">
        <f t="shared" si="3"/>
        <v>42573</v>
      </c>
      <c r="D91" s="105" t="s">
        <v>560</v>
      </c>
      <c r="E91" s="110">
        <v>42573</v>
      </c>
      <c r="F91" s="109" t="s">
        <v>645</v>
      </c>
      <c r="G91" s="296" t="s">
        <v>707</v>
      </c>
      <c r="H91" s="4" t="s">
        <v>370</v>
      </c>
      <c r="I91" s="133">
        <v>200</v>
      </c>
      <c r="J91" s="133">
        <v>14200</v>
      </c>
      <c r="K91" s="13">
        <f>ROUND(I91*J91,0)</f>
        <v>2840000</v>
      </c>
      <c r="L91" s="113" t="s">
        <v>251</v>
      </c>
      <c r="M91" s="402" t="s">
        <v>168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563"/>
    </row>
    <row r="92" spans="1:26" ht="15.75" customHeight="1">
      <c r="A92" s="120" t="str">
        <f>IF(B92&lt;&gt;"",IF(AND(B92&gt;=_TM1,B92&lt;=_TM2,OR(TH!L92="1111",TH!M92="1111")),TH!D92,""),"")</f>
        <v/>
      </c>
      <c r="B92" s="12">
        <f t="shared" si="4"/>
        <v>7</v>
      </c>
      <c r="C92" s="105">
        <f t="shared" si="3"/>
        <v>42573</v>
      </c>
      <c r="D92" s="105" t="s">
        <v>560</v>
      </c>
      <c r="E92" s="110">
        <v>42573</v>
      </c>
      <c r="F92" s="109" t="s">
        <v>646</v>
      </c>
      <c r="G92" s="296" t="s">
        <v>707</v>
      </c>
      <c r="H92" s="4" t="s">
        <v>370</v>
      </c>
      <c r="I92" s="133">
        <v>300</v>
      </c>
      <c r="J92" s="133">
        <v>16500</v>
      </c>
      <c r="K92" s="13">
        <f>ROUND(I92*J92,0)</f>
        <v>4950000</v>
      </c>
      <c r="L92" s="113" t="s">
        <v>251</v>
      </c>
      <c r="M92" s="402" t="s">
        <v>168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563"/>
    </row>
    <row r="93" spans="1:26" ht="15.75" customHeight="1">
      <c r="A93" s="120" t="str">
        <f>IF(B93&lt;&gt;"",IF(AND(B93&gt;=_TM1,B93&lt;=_TM2,OR(TH!L93="1111",TH!M93="1111")),TH!D93,""),"")</f>
        <v/>
      </c>
      <c r="B93" s="12">
        <f t="shared" si="4"/>
        <v>7</v>
      </c>
      <c r="C93" s="105">
        <f t="shared" si="3"/>
        <v>42573</v>
      </c>
      <c r="D93" s="105" t="s">
        <v>560</v>
      </c>
      <c r="E93" s="110">
        <v>42573</v>
      </c>
      <c r="F93" s="109" t="s">
        <v>647</v>
      </c>
      <c r="G93" s="296" t="s">
        <v>707</v>
      </c>
      <c r="H93" s="4" t="s">
        <v>370</v>
      </c>
      <c r="I93" s="133">
        <v>300</v>
      </c>
      <c r="J93" s="133">
        <v>24500</v>
      </c>
      <c r="K93" s="13">
        <f>ROUND(I93*J93,0)</f>
        <v>7350000</v>
      </c>
      <c r="L93" s="113" t="s">
        <v>251</v>
      </c>
      <c r="M93" s="402" t="s">
        <v>168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563"/>
    </row>
    <row r="94" spans="1:26" ht="15.75" customHeight="1">
      <c r="A94" s="120" t="str">
        <f>IF(B94&lt;&gt;"",IF(AND(B94&gt;=_TM1,B94&lt;=_TM2,OR(TH!L94="1111",TH!M94="1111")),TH!D94,""),"")</f>
        <v/>
      </c>
      <c r="B94" s="12">
        <f t="shared" si="4"/>
        <v>7</v>
      </c>
      <c r="C94" s="105">
        <f t="shared" si="3"/>
        <v>42573</v>
      </c>
      <c r="D94" s="105" t="s">
        <v>560</v>
      </c>
      <c r="E94" s="110">
        <v>42573</v>
      </c>
      <c r="F94" s="109" t="s">
        <v>817</v>
      </c>
      <c r="G94" s="296" t="s">
        <v>707</v>
      </c>
      <c r="H94" s="4" t="s">
        <v>370</v>
      </c>
      <c r="I94" s="133">
        <v>200</v>
      </c>
      <c r="J94" s="133">
        <v>25500</v>
      </c>
      <c r="K94" s="13">
        <f>ROUND(I94*J94,0)</f>
        <v>5100000</v>
      </c>
      <c r="L94" s="113" t="s">
        <v>251</v>
      </c>
      <c r="M94" s="402" t="s">
        <v>168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563"/>
    </row>
    <row r="95" spans="1:26" ht="15.75" customHeight="1">
      <c r="A95" s="120" t="str">
        <f>IF(B95&lt;&gt;"",IF(AND(B95&gt;=_TM1,B95&lt;=_TM2,OR(TH!L95="1111",TH!M95="1111")),TH!D95,""),"")</f>
        <v/>
      </c>
      <c r="B95" s="12">
        <f t="shared" si="4"/>
        <v>7</v>
      </c>
      <c r="C95" s="105">
        <f t="shared" si="3"/>
        <v>42573</v>
      </c>
      <c r="D95" s="105" t="s">
        <v>560</v>
      </c>
      <c r="E95" s="110">
        <v>42573</v>
      </c>
      <c r="F95" s="109" t="s">
        <v>494</v>
      </c>
      <c r="G95" s="296" t="s">
        <v>707</v>
      </c>
      <c r="H95" s="4" t="s">
        <v>370</v>
      </c>
      <c r="I95" s="133"/>
      <c r="J95" s="133"/>
      <c r="K95" s="13">
        <v>2334000</v>
      </c>
      <c r="L95" s="113" t="s">
        <v>251</v>
      </c>
      <c r="M95" s="402" t="s">
        <v>350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563"/>
    </row>
    <row r="96" spans="1:26" ht="15.75" customHeight="1">
      <c r="A96" s="120" t="str">
        <f>IF(B96&lt;&gt;"",IF(AND(B96&gt;=_TM1,B96&lt;=_TM2,OR(TH!L96="1111",TH!M96="1111")),TH!D96,""),"")</f>
        <v/>
      </c>
      <c r="B96" s="12">
        <f t="shared" si="4"/>
        <v>7</v>
      </c>
      <c r="C96" s="105">
        <f t="shared" si="3"/>
        <v>42574</v>
      </c>
      <c r="D96" s="105" t="s">
        <v>561</v>
      </c>
      <c r="E96" s="110">
        <v>42574</v>
      </c>
      <c r="F96" s="109" t="s">
        <v>653</v>
      </c>
      <c r="G96" s="296" t="s">
        <v>708</v>
      </c>
      <c r="H96" s="4" t="s">
        <v>369</v>
      </c>
      <c r="I96" s="133">
        <v>530</v>
      </c>
      <c r="J96" s="133">
        <v>17800</v>
      </c>
      <c r="K96" s="13">
        <f>ROUND(I96*J96,0)</f>
        <v>9434000</v>
      </c>
      <c r="L96" s="113" t="s">
        <v>251</v>
      </c>
      <c r="M96" s="402" t="s">
        <v>168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563"/>
    </row>
    <row r="97" spans="1:26" ht="15.75" customHeight="1">
      <c r="A97" s="120" t="str">
        <f>IF(B97&lt;&gt;"",IF(AND(B97&gt;=_TM1,B97&lt;=_TM2,OR(TH!L97="1111",TH!M97="1111")),TH!D97,""),"")</f>
        <v/>
      </c>
      <c r="B97" s="12">
        <f t="shared" si="4"/>
        <v>7</v>
      </c>
      <c r="C97" s="105">
        <f t="shared" si="3"/>
        <v>42574</v>
      </c>
      <c r="D97" s="105" t="s">
        <v>561</v>
      </c>
      <c r="E97" s="110">
        <v>42574</v>
      </c>
      <c r="F97" s="109" t="s">
        <v>498</v>
      </c>
      <c r="G97" s="296" t="s">
        <v>708</v>
      </c>
      <c r="H97" s="4" t="s">
        <v>369</v>
      </c>
      <c r="I97" s="133">
        <v>33</v>
      </c>
      <c r="J97" s="133">
        <v>9600</v>
      </c>
      <c r="K97" s="13">
        <f>ROUND(I97*J97,0)</f>
        <v>316800</v>
      </c>
      <c r="L97" s="113" t="s">
        <v>251</v>
      </c>
      <c r="M97" s="402" t="s">
        <v>168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563"/>
    </row>
    <row r="98" spans="1:26" ht="15.75" customHeight="1">
      <c r="A98" s="120" t="str">
        <f>IF(B98&lt;&gt;"",IF(AND(B98&gt;=_TM1,B98&lt;=_TM2,OR(TH!L98="1111",TH!M98="1111")),TH!D98,""),"")</f>
        <v/>
      </c>
      <c r="B98" s="12">
        <f t="shared" si="4"/>
        <v>7</v>
      </c>
      <c r="C98" s="105">
        <f t="shared" si="3"/>
        <v>42574</v>
      </c>
      <c r="D98" s="105" t="s">
        <v>561</v>
      </c>
      <c r="E98" s="110">
        <v>42574</v>
      </c>
      <c r="F98" s="109" t="s">
        <v>654</v>
      </c>
      <c r="G98" s="296" t="s">
        <v>708</v>
      </c>
      <c r="H98" s="4" t="s">
        <v>369</v>
      </c>
      <c r="I98" s="133">
        <v>630</v>
      </c>
      <c r="J98" s="133">
        <v>9700</v>
      </c>
      <c r="K98" s="13">
        <f>ROUND(I98*J98,0)</f>
        <v>6111000</v>
      </c>
      <c r="L98" s="113" t="s">
        <v>251</v>
      </c>
      <c r="M98" s="402" t="s">
        <v>168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563"/>
    </row>
    <row r="99" spans="1:26" ht="15.75" customHeight="1">
      <c r="A99" s="120" t="str">
        <f>IF(B99&lt;&gt;"",IF(AND(B99&gt;=_TM1,B99&lt;=_TM2,OR(TH!L99="1111",TH!M99="1111")),TH!D99,""),"")</f>
        <v/>
      </c>
      <c r="B99" s="12">
        <f t="shared" si="4"/>
        <v>7</v>
      </c>
      <c r="C99" s="105">
        <f t="shared" si="3"/>
        <v>42574</v>
      </c>
      <c r="D99" s="105" t="s">
        <v>561</v>
      </c>
      <c r="E99" s="110">
        <v>42574</v>
      </c>
      <c r="F99" s="109" t="s">
        <v>660</v>
      </c>
      <c r="G99" s="296" t="s">
        <v>708</v>
      </c>
      <c r="H99" s="4" t="s">
        <v>369</v>
      </c>
      <c r="I99" s="133">
        <v>352</v>
      </c>
      <c r="J99" s="133">
        <v>13700</v>
      </c>
      <c r="K99" s="13">
        <f>ROUND(I99*J99,0)</f>
        <v>4822400</v>
      </c>
      <c r="L99" s="113" t="s">
        <v>251</v>
      </c>
      <c r="M99" s="402" t="s">
        <v>168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563"/>
    </row>
    <row r="100" spans="1:26" ht="15.75" customHeight="1">
      <c r="A100" s="120" t="str">
        <f>IF(B100&lt;&gt;"",IF(AND(B100&gt;=_TM1,B100&lt;=_TM2,OR(TH!L100="1111",TH!M100="1111")),TH!D100,""),"")</f>
        <v/>
      </c>
      <c r="B100" s="12">
        <f t="shared" si="4"/>
        <v>7</v>
      </c>
      <c r="C100" s="105">
        <f t="shared" si="3"/>
        <v>42574</v>
      </c>
      <c r="D100" s="105" t="s">
        <v>561</v>
      </c>
      <c r="E100" s="110">
        <v>42574</v>
      </c>
      <c r="F100" s="109" t="s">
        <v>494</v>
      </c>
      <c r="G100" s="296" t="s">
        <v>708</v>
      </c>
      <c r="H100" s="4" t="s">
        <v>369</v>
      </c>
      <c r="I100" s="133"/>
      <c r="J100" s="133"/>
      <c r="K100" s="13">
        <v>2068420</v>
      </c>
      <c r="L100" s="113" t="s">
        <v>251</v>
      </c>
      <c r="M100" s="402" t="s">
        <v>350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563"/>
    </row>
    <row r="101" spans="1:26" ht="15.75" customHeight="1">
      <c r="A101" s="120" t="str">
        <f>IF(B101&lt;&gt;"",IF(AND(B101&gt;=_TM1,B101&lt;=_TM2,OR(TH!L101="1111",TH!M101="1111")),TH!D101,""),"")</f>
        <v/>
      </c>
      <c r="B101" s="12">
        <f t="shared" si="4"/>
        <v>7</v>
      </c>
      <c r="C101" s="105">
        <f t="shared" si="3"/>
        <v>42574</v>
      </c>
      <c r="D101" s="105" t="s">
        <v>562</v>
      </c>
      <c r="E101" s="110">
        <v>42574</v>
      </c>
      <c r="F101" s="109" t="s">
        <v>511</v>
      </c>
      <c r="G101" s="296" t="s">
        <v>709</v>
      </c>
      <c r="H101" s="4" t="s">
        <v>617</v>
      </c>
      <c r="I101" s="133">
        <v>350</v>
      </c>
      <c r="J101" s="133">
        <v>13600</v>
      </c>
      <c r="K101" s="13">
        <f>ROUND(I101*J101,0)</f>
        <v>4760000</v>
      </c>
      <c r="L101" s="113" t="s">
        <v>251</v>
      </c>
      <c r="M101" s="402" t="s">
        <v>168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563"/>
    </row>
    <row r="102" spans="1:26" ht="15.75" customHeight="1">
      <c r="A102" s="120" t="str">
        <f>IF(B102&lt;&gt;"",IF(AND(B102&gt;=_TM1,B102&lt;=_TM2,OR(TH!L102="1111",TH!M102="1111")),TH!D102,""),"")</f>
        <v/>
      </c>
      <c r="B102" s="12">
        <f t="shared" si="4"/>
        <v>7</v>
      </c>
      <c r="C102" s="105">
        <f t="shared" si="3"/>
        <v>42574</v>
      </c>
      <c r="D102" s="105" t="s">
        <v>562</v>
      </c>
      <c r="E102" s="110">
        <v>42574</v>
      </c>
      <c r="F102" s="109" t="s">
        <v>494</v>
      </c>
      <c r="G102" s="296" t="s">
        <v>709</v>
      </c>
      <c r="H102" s="4" t="s">
        <v>617</v>
      </c>
      <c r="I102" s="133"/>
      <c r="J102" s="133"/>
      <c r="K102" s="13">
        <v>476000</v>
      </c>
      <c r="L102" s="113" t="s">
        <v>251</v>
      </c>
      <c r="M102" s="402" t="s">
        <v>350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563"/>
    </row>
    <row r="103" spans="1:26" ht="15.75" customHeight="1">
      <c r="A103" s="120" t="str">
        <f>IF(B103&lt;&gt;"",IF(AND(B103&gt;=_TM1,B103&lt;=_TM2,OR(TH!L103="1111",TH!M103="1111")),TH!D103,""),"")</f>
        <v/>
      </c>
      <c r="B103" s="12">
        <f t="shared" si="4"/>
        <v>7</v>
      </c>
      <c r="C103" s="105">
        <f t="shared" si="3"/>
        <v>42574</v>
      </c>
      <c r="D103" s="105" t="s">
        <v>989</v>
      </c>
      <c r="E103" s="110">
        <v>42574</v>
      </c>
      <c r="F103" s="111" t="s">
        <v>482</v>
      </c>
      <c r="G103" s="296" t="s">
        <v>709</v>
      </c>
      <c r="H103" s="4" t="s">
        <v>617</v>
      </c>
      <c r="I103" s="133"/>
      <c r="J103" s="133"/>
      <c r="K103" s="13">
        <v>5236000</v>
      </c>
      <c r="L103" s="113" t="s">
        <v>46</v>
      </c>
      <c r="M103" s="402" t="s">
        <v>251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>x</v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564"/>
    </row>
    <row r="104" spans="1:26" ht="15.75" customHeight="1">
      <c r="A104" s="120" t="str">
        <f>IF(B104&lt;&gt;"",IF(AND(B104&gt;=_TM1,B104&lt;=_TM2,OR(TH!L104="1111",TH!M104="1111")),TH!D104,""),"")</f>
        <v/>
      </c>
      <c r="B104" s="12">
        <f t="shared" si="4"/>
        <v>7</v>
      </c>
      <c r="C104" s="105">
        <f t="shared" ref="C104:C167" si="5">E104</f>
        <v>42576</v>
      </c>
      <c r="D104" s="105" t="s">
        <v>468</v>
      </c>
      <c r="E104" s="105">
        <v>42576</v>
      </c>
      <c r="F104" s="109" t="s">
        <v>474</v>
      </c>
      <c r="G104" s="296" t="s">
        <v>472</v>
      </c>
      <c r="H104" s="4"/>
      <c r="I104" s="133"/>
      <c r="J104" s="133"/>
      <c r="K104" s="401">
        <v>1428</v>
      </c>
      <c r="L104" s="113" t="s">
        <v>24</v>
      </c>
      <c r="M104" s="113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563">
        <v>3</v>
      </c>
    </row>
    <row r="105" spans="1:26" ht="15.75" customHeight="1">
      <c r="A105" s="120" t="str">
        <f>IF(B105&lt;&gt;"",IF(AND(B105&gt;=_TM1,B105&lt;=_TM2,OR(TH!L105="1111",TH!M105="1111")),TH!D105,""),"")</f>
        <v/>
      </c>
      <c r="B105" s="12">
        <f t="shared" si="4"/>
        <v>7</v>
      </c>
      <c r="C105" s="105">
        <f t="shared" si="5"/>
        <v>42576</v>
      </c>
      <c r="D105" s="105" t="s">
        <v>468</v>
      </c>
      <c r="E105" s="105">
        <v>42576</v>
      </c>
      <c r="F105" s="109" t="s">
        <v>475</v>
      </c>
      <c r="G105" s="296" t="s">
        <v>472</v>
      </c>
      <c r="H105" s="4"/>
      <c r="I105" s="133"/>
      <c r="J105" s="133"/>
      <c r="K105" s="13">
        <v>10000</v>
      </c>
      <c r="L105" s="113" t="s">
        <v>82</v>
      </c>
      <c r="M105" s="113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>x</v>
      </c>
      <c r="Y105" s="22" t="str">
        <f>IF(AND(B105&lt;=NKC!$N$8,B105&gt;=NKC!$M$8),"x","")</f>
        <v>x</v>
      </c>
      <c r="Z105" s="563">
        <v>3</v>
      </c>
    </row>
    <row r="106" spans="1:26" ht="15.75" customHeight="1">
      <c r="A106" s="120" t="str">
        <f>IF(B106&lt;&gt;"",IF(AND(B106&gt;=_TM1,B106&lt;=_TM2,OR(TH!L106="1111",TH!M106="1111")),TH!D106,""),"")</f>
        <v/>
      </c>
      <c r="B106" s="12">
        <f t="shared" si="4"/>
        <v>7</v>
      </c>
      <c r="C106" s="105">
        <f t="shared" si="5"/>
        <v>42576</v>
      </c>
      <c r="D106" s="105" t="s">
        <v>468</v>
      </c>
      <c r="E106" s="105">
        <v>42576</v>
      </c>
      <c r="F106" s="109" t="s">
        <v>476</v>
      </c>
      <c r="G106" s="296" t="s">
        <v>472</v>
      </c>
      <c r="H106" s="4"/>
      <c r="I106" s="133"/>
      <c r="J106" s="133"/>
      <c r="K106" s="13">
        <v>1000</v>
      </c>
      <c r="L106" s="113" t="s">
        <v>9</v>
      </c>
      <c r="M106" s="113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563">
        <v>3</v>
      </c>
    </row>
    <row r="107" spans="1:26" ht="15.75" customHeight="1">
      <c r="A107" s="120" t="str">
        <f>IF(B107&lt;&gt;"",IF(AND(B107&gt;=_TM1,B107&lt;=_TM2,OR(TH!L107="1111",TH!M107="1111")),TH!D107,""),"")</f>
        <v/>
      </c>
      <c r="B107" s="12">
        <f t="shared" si="4"/>
        <v>7</v>
      </c>
      <c r="C107" s="105">
        <f t="shared" si="5"/>
        <v>42576</v>
      </c>
      <c r="D107" s="110" t="s">
        <v>460</v>
      </c>
      <c r="E107" s="105">
        <v>42576</v>
      </c>
      <c r="F107" s="109" t="s">
        <v>430</v>
      </c>
      <c r="G107" s="296" t="s">
        <v>429</v>
      </c>
      <c r="H107" s="112" t="s">
        <v>622</v>
      </c>
      <c r="I107" s="133"/>
      <c r="J107" s="133"/>
      <c r="K107" s="401">
        <v>17110500</v>
      </c>
      <c r="L107" s="402" t="s">
        <v>82</v>
      </c>
      <c r="M107" s="113" t="s">
        <v>46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>x</v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>x</v>
      </c>
      <c r="Y107" s="22" t="str">
        <f>IF(AND(B107&lt;=NKC!$N$8,B107&gt;=NKC!$M$8),"x","")</f>
        <v>x</v>
      </c>
      <c r="Z107" s="563">
        <v>3</v>
      </c>
    </row>
    <row r="108" spans="1:26" ht="15.75" customHeight="1">
      <c r="A108" s="120" t="str">
        <f>IF(B108&lt;&gt;"",IF(AND(B108&gt;=_TM1,B108&lt;=_TM2,OR(TH!L108="1111",TH!M108="1111")),TH!D108,""),"")</f>
        <v/>
      </c>
      <c r="B108" s="12">
        <f t="shared" si="4"/>
        <v>7</v>
      </c>
      <c r="C108" s="105">
        <f t="shared" si="5"/>
        <v>42576</v>
      </c>
      <c r="D108" s="110" t="s">
        <v>460</v>
      </c>
      <c r="E108" s="105">
        <v>42576</v>
      </c>
      <c r="F108" s="109" t="s">
        <v>431</v>
      </c>
      <c r="G108" s="296" t="s">
        <v>429</v>
      </c>
      <c r="H108" s="112" t="s">
        <v>622</v>
      </c>
      <c r="I108" s="133"/>
      <c r="J108" s="133"/>
      <c r="K108" s="401">
        <v>1711050</v>
      </c>
      <c r="L108" s="402" t="s">
        <v>9</v>
      </c>
      <c r="M108" s="113" t="s">
        <v>46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>x</v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563">
        <v>3</v>
      </c>
    </row>
    <row r="109" spans="1:26" ht="15.75" customHeight="1">
      <c r="A109" s="120" t="str">
        <f>IF(B109&lt;&gt;"",IF(AND(B109&gt;=_TM1,B109&lt;=_TM2,OR(TH!L109="1111",TH!M109="1111")),TH!D109,""),"")</f>
        <v/>
      </c>
      <c r="B109" s="12">
        <f t="shared" si="4"/>
        <v>7</v>
      </c>
      <c r="C109" s="105">
        <f t="shared" si="5"/>
        <v>42577</v>
      </c>
      <c r="D109" s="105" t="s">
        <v>563</v>
      </c>
      <c r="E109" s="110">
        <v>42577</v>
      </c>
      <c r="F109" s="109" t="s">
        <v>512</v>
      </c>
      <c r="G109" s="296" t="s">
        <v>710</v>
      </c>
      <c r="H109" s="4" t="s">
        <v>364</v>
      </c>
      <c r="I109" s="133">
        <v>473</v>
      </c>
      <c r="J109" s="133">
        <v>13000</v>
      </c>
      <c r="K109" s="13">
        <f>ROUND(I109*J109,0)</f>
        <v>6149000</v>
      </c>
      <c r="L109" s="113" t="s">
        <v>251</v>
      </c>
      <c r="M109" s="402" t="s">
        <v>168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563"/>
    </row>
    <row r="110" spans="1:26" ht="15.75" customHeight="1">
      <c r="A110" s="120" t="str">
        <f>IF(B110&lt;&gt;"",IF(AND(B110&gt;=_TM1,B110&lt;=_TM2,OR(TH!L110="1111",TH!M110="1111")),TH!D110,""),"")</f>
        <v/>
      </c>
      <c r="B110" s="12">
        <f t="shared" si="4"/>
        <v>7</v>
      </c>
      <c r="C110" s="105">
        <f t="shared" si="5"/>
        <v>42577</v>
      </c>
      <c r="D110" s="105" t="s">
        <v>563</v>
      </c>
      <c r="E110" s="110">
        <v>42577</v>
      </c>
      <c r="F110" s="109" t="s">
        <v>494</v>
      </c>
      <c r="G110" s="296" t="s">
        <v>710</v>
      </c>
      <c r="H110" s="4" t="s">
        <v>364</v>
      </c>
      <c r="I110" s="133"/>
      <c r="J110" s="133"/>
      <c r="K110" s="13">
        <v>614900</v>
      </c>
      <c r="L110" s="113" t="s">
        <v>251</v>
      </c>
      <c r="M110" s="402" t="s">
        <v>350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563"/>
    </row>
    <row r="111" spans="1:26" ht="15.75" customHeight="1">
      <c r="A111" s="120" t="str">
        <f>IF(B111&lt;&gt;"",IF(AND(B111&gt;=_TM1,B111&lt;=_TM2,OR(TH!L111="1111",TH!M111="1111")),TH!D111,""),"")</f>
        <v/>
      </c>
      <c r="B111" s="12">
        <f t="shared" si="4"/>
        <v>7</v>
      </c>
      <c r="C111" s="105">
        <f t="shared" si="5"/>
        <v>42579</v>
      </c>
      <c r="D111" s="105" t="s">
        <v>467</v>
      </c>
      <c r="E111" s="105">
        <v>42579</v>
      </c>
      <c r="F111" s="109" t="s">
        <v>482</v>
      </c>
      <c r="G111" s="296" t="s">
        <v>472</v>
      </c>
      <c r="H111" s="4" t="s">
        <v>365</v>
      </c>
      <c r="I111" s="133"/>
      <c r="J111" s="133"/>
      <c r="K111" s="401">
        <v>14300000</v>
      </c>
      <c r="L111" s="402" t="s">
        <v>24</v>
      </c>
      <c r="M111" s="402" t="s">
        <v>251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>x</v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563"/>
    </row>
    <row r="112" spans="1:26" ht="15.75" customHeight="1">
      <c r="A112" s="120" t="str">
        <f>IF(B112&lt;&gt;"",IF(AND(B112&gt;=_TM1,B112&lt;=_TM2,OR(TH!L112="1111",TH!M112="1111")),TH!D112,""),"")</f>
        <v/>
      </c>
      <c r="B112" s="12">
        <f t="shared" si="4"/>
        <v>7</v>
      </c>
      <c r="C112" s="105">
        <f t="shared" si="5"/>
        <v>42580</v>
      </c>
      <c r="D112" s="110" t="s">
        <v>401</v>
      </c>
      <c r="E112" s="105">
        <v>42580</v>
      </c>
      <c r="F112" s="109" t="s">
        <v>403</v>
      </c>
      <c r="G112" s="298" t="s">
        <v>446</v>
      </c>
      <c r="H112" s="4" t="s">
        <v>397</v>
      </c>
      <c r="I112" s="133">
        <v>7756</v>
      </c>
      <c r="J112" s="133">
        <v>7600</v>
      </c>
      <c r="K112" s="13">
        <f>ROUND(I112*J112,0)</f>
        <v>58945600</v>
      </c>
      <c r="L112" s="113" t="s">
        <v>153</v>
      </c>
      <c r="M112" s="113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563">
        <v>3</v>
      </c>
    </row>
    <row r="113" spans="1:26" ht="15.75" customHeight="1">
      <c r="A113" s="120" t="str">
        <f>IF(B113&lt;&gt;"",IF(AND(B113&gt;=_TM1,B113&lt;=_TM2,OR(TH!L113="1111",TH!M113="1111")),TH!D113,""),"")</f>
        <v/>
      </c>
      <c r="B113" s="12">
        <f t="shared" si="4"/>
        <v>7</v>
      </c>
      <c r="C113" s="105">
        <f t="shared" si="5"/>
        <v>42580</v>
      </c>
      <c r="D113" s="110" t="s">
        <v>401</v>
      </c>
      <c r="E113" s="105">
        <v>42580</v>
      </c>
      <c r="F113" s="109" t="s">
        <v>447</v>
      </c>
      <c r="G113" s="298" t="s">
        <v>446</v>
      </c>
      <c r="H113" s="4" t="s">
        <v>397</v>
      </c>
      <c r="I113" s="133">
        <v>4223</v>
      </c>
      <c r="J113" s="133">
        <v>8900</v>
      </c>
      <c r="K113" s="13">
        <f>ROUND(I113*J113,0)</f>
        <v>37584700</v>
      </c>
      <c r="L113" s="113" t="s">
        <v>153</v>
      </c>
      <c r="M113" s="113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563">
        <v>3</v>
      </c>
    </row>
    <row r="114" spans="1:26" ht="15.75" customHeight="1">
      <c r="A114" s="120" t="str">
        <f>IF(B114&lt;&gt;"",IF(AND(B114&gt;=_TM1,B114&lt;=_TM2,OR(TH!L114="1111",TH!M114="1111")),TH!D114,""),"")</f>
        <v/>
      </c>
      <c r="B114" s="12">
        <f t="shared" si="4"/>
        <v>7</v>
      </c>
      <c r="C114" s="105">
        <f t="shared" si="5"/>
        <v>42580</v>
      </c>
      <c r="D114" s="110" t="s">
        <v>401</v>
      </c>
      <c r="E114" s="105">
        <v>42580</v>
      </c>
      <c r="F114" s="109" t="s">
        <v>448</v>
      </c>
      <c r="G114" s="298" t="s">
        <v>446</v>
      </c>
      <c r="H114" s="4" t="s">
        <v>397</v>
      </c>
      <c r="I114" s="133">
        <v>6881</v>
      </c>
      <c r="J114" s="133">
        <v>8500</v>
      </c>
      <c r="K114" s="13">
        <f>ROUND(I114*J114,0)</f>
        <v>58488500</v>
      </c>
      <c r="L114" s="113" t="s">
        <v>153</v>
      </c>
      <c r="M114" s="113" t="s">
        <v>8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563">
        <v>3</v>
      </c>
    </row>
    <row r="115" spans="1:26" ht="15.75" customHeight="1">
      <c r="A115" s="120" t="str">
        <f>IF(B115&lt;&gt;"",IF(AND(B115&gt;=_TM1,B115&lt;=_TM2,OR(TH!L115="1111",TH!M115="1111")),TH!D115,""),"")</f>
        <v/>
      </c>
      <c r="B115" s="12">
        <f t="shared" si="4"/>
        <v>7</v>
      </c>
      <c r="C115" s="105">
        <f t="shared" si="5"/>
        <v>42580</v>
      </c>
      <c r="D115" s="110" t="s">
        <v>454</v>
      </c>
      <c r="E115" s="105">
        <v>42580</v>
      </c>
      <c r="F115" s="109" t="s">
        <v>398</v>
      </c>
      <c r="G115" s="298" t="s">
        <v>446</v>
      </c>
      <c r="H115" s="4" t="s">
        <v>397</v>
      </c>
      <c r="I115" s="133"/>
      <c r="J115" s="133"/>
      <c r="K115" s="401">
        <v>15501880</v>
      </c>
      <c r="L115" s="113" t="s">
        <v>9</v>
      </c>
      <c r="M115" s="113" t="s">
        <v>8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563">
        <v>3</v>
      </c>
    </row>
    <row r="116" spans="1:26" ht="15.75" customHeight="1">
      <c r="A116" s="120" t="str">
        <f>IF(B116&lt;&gt;"",IF(AND(B116&gt;=_TM1,B116&lt;=_TM2,OR(TH!L116="1111",TH!M116="1111")),TH!D116,""),"")</f>
        <v/>
      </c>
      <c r="B116" s="12">
        <f t="shared" si="4"/>
        <v>7</v>
      </c>
      <c r="C116" s="105">
        <f t="shared" si="5"/>
        <v>42580</v>
      </c>
      <c r="D116" s="105" t="s">
        <v>990</v>
      </c>
      <c r="E116" s="105">
        <v>42580</v>
      </c>
      <c r="F116" s="109" t="s">
        <v>483</v>
      </c>
      <c r="G116" s="296" t="s">
        <v>472</v>
      </c>
      <c r="H116" s="4" t="s">
        <v>473</v>
      </c>
      <c r="I116" s="133"/>
      <c r="J116" s="133"/>
      <c r="K116" s="401">
        <v>15000000</v>
      </c>
      <c r="L116" s="402" t="s">
        <v>46</v>
      </c>
      <c r="M116" s="402" t="s">
        <v>24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/>
      </c>
      <c r="P116" s="22" t="str">
        <f>IF(AND($L116=$O$7,$B116&lt;'111'!$N$11),"x","")</f>
        <v>x</v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>x</v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563"/>
    </row>
    <row r="117" spans="1:26" ht="15.75" customHeight="1">
      <c r="A117" s="120" t="str">
        <f>IF(B117&lt;&gt;"",IF(AND(B117&gt;=_TM1,B117&lt;=_TM2,OR(TH!L117="1111",TH!M117="1111")),TH!D117,""),"")</f>
        <v/>
      </c>
      <c r="B117" s="12">
        <f t="shared" si="4"/>
        <v>7</v>
      </c>
      <c r="C117" s="105">
        <f t="shared" si="5"/>
        <v>42580</v>
      </c>
      <c r="D117" s="105" t="s">
        <v>467</v>
      </c>
      <c r="E117" s="105">
        <v>42580</v>
      </c>
      <c r="F117" s="109" t="s">
        <v>482</v>
      </c>
      <c r="G117" s="296" t="s">
        <v>472</v>
      </c>
      <c r="H117" s="4" t="s">
        <v>370</v>
      </c>
      <c r="I117" s="133"/>
      <c r="J117" s="133"/>
      <c r="K117" s="401">
        <v>25674000</v>
      </c>
      <c r="L117" s="402" t="s">
        <v>24</v>
      </c>
      <c r="M117" s="402" t="s">
        <v>251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>x</v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563"/>
    </row>
    <row r="118" spans="1:26" ht="15.75" customHeight="1">
      <c r="A118" s="120" t="str">
        <f>IF(B118&lt;&gt;"",IF(AND(B118&gt;=_TM1,B118&lt;=_TM2,OR(TH!L118="1111",TH!M118="1111")),TH!D118,""),"")</f>
        <v/>
      </c>
      <c r="B118" s="12">
        <f t="shared" si="4"/>
        <v>7</v>
      </c>
      <c r="C118" s="105">
        <f t="shared" si="5"/>
        <v>42580</v>
      </c>
      <c r="D118" s="105" t="s">
        <v>564</v>
      </c>
      <c r="E118" s="110">
        <v>42580</v>
      </c>
      <c r="F118" s="109" t="s">
        <v>513</v>
      </c>
      <c r="G118" s="296" t="s">
        <v>711</v>
      </c>
      <c r="H118" s="4" t="s">
        <v>364</v>
      </c>
      <c r="I118" s="133">
        <v>302</v>
      </c>
      <c r="J118" s="133">
        <v>10500</v>
      </c>
      <c r="K118" s="13">
        <f>ROUND(I118*J118,0)</f>
        <v>3171000</v>
      </c>
      <c r="L118" s="113" t="s">
        <v>251</v>
      </c>
      <c r="M118" s="402" t="s">
        <v>168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563"/>
    </row>
    <row r="119" spans="1:26" ht="15.75" customHeight="1">
      <c r="A119" s="120" t="str">
        <f>IF(B119&lt;&gt;"",IF(AND(B119&gt;=_TM1,B119&lt;=_TM2,OR(TH!L119="1111",TH!M119="1111")),TH!D119,""),"")</f>
        <v/>
      </c>
      <c r="B119" s="12">
        <f t="shared" si="4"/>
        <v>7</v>
      </c>
      <c r="C119" s="105">
        <f t="shared" si="5"/>
        <v>42580</v>
      </c>
      <c r="D119" s="105" t="s">
        <v>564</v>
      </c>
      <c r="E119" s="110">
        <v>42580</v>
      </c>
      <c r="F119" s="109" t="s">
        <v>514</v>
      </c>
      <c r="G119" s="296" t="s">
        <v>711</v>
      </c>
      <c r="H119" s="4" t="s">
        <v>364</v>
      </c>
      <c r="I119" s="133">
        <v>527</v>
      </c>
      <c r="J119" s="133">
        <v>10500</v>
      </c>
      <c r="K119" s="13">
        <f>ROUND(I119*J119,0)</f>
        <v>5533500</v>
      </c>
      <c r="L119" s="113" t="s">
        <v>251</v>
      </c>
      <c r="M119" s="402" t="s">
        <v>168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563"/>
    </row>
    <row r="120" spans="1:26" ht="15.75" customHeight="1">
      <c r="A120" s="120" t="str">
        <f>IF(B120&lt;&gt;"",IF(AND(B120&gt;=_TM1,B120&lt;=_TM2,OR(TH!L120="1111",TH!M120="1111")),TH!D120,""),"")</f>
        <v/>
      </c>
      <c r="B120" s="12">
        <f t="shared" si="4"/>
        <v>7</v>
      </c>
      <c r="C120" s="105">
        <f t="shared" si="5"/>
        <v>42580</v>
      </c>
      <c r="D120" s="105" t="s">
        <v>564</v>
      </c>
      <c r="E120" s="110">
        <v>42580</v>
      </c>
      <c r="F120" s="109" t="s">
        <v>494</v>
      </c>
      <c r="G120" s="296" t="s">
        <v>711</v>
      </c>
      <c r="H120" s="4" t="s">
        <v>364</v>
      </c>
      <c r="I120" s="133"/>
      <c r="J120" s="133"/>
      <c r="K120" s="13">
        <v>870450</v>
      </c>
      <c r="L120" s="113" t="s">
        <v>251</v>
      </c>
      <c r="M120" s="402" t="s">
        <v>350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563"/>
    </row>
    <row r="121" spans="1:26" ht="15.75" customHeight="1">
      <c r="A121" s="120" t="str">
        <f>IF(B121&lt;&gt;"",IF(AND(B121&gt;=_TM1,B121&lt;=_TM2,OR(TH!L121="1111",TH!M121="1111")),TH!D121,""),"")</f>
        <v/>
      </c>
      <c r="B121" s="12">
        <f t="shared" si="4"/>
        <v>7</v>
      </c>
      <c r="C121" s="105">
        <f t="shared" si="5"/>
        <v>42580</v>
      </c>
      <c r="D121" s="105" t="s">
        <v>565</v>
      </c>
      <c r="E121" s="110">
        <v>42580</v>
      </c>
      <c r="F121" s="109" t="s">
        <v>647</v>
      </c>
      <c r="G121" s="296" t="s">
        <v>712</v>
      </c>
      <c r="H121" s="4" t="s">
        <v>370</v>
      </c>
      <c r="I121" s="133">
        <v>100</v>
      </c>
      <c r="J121" s="133">
        <v>19700</v>
      </c>
      <c r="K121" s="13">
        <f>ROUND(I121*J121,0)</f>
        <v>1970000</v>
      </c>
      <c r="L121" s="113" t="s">
        <v>251</v>
      </c>
      <c r="M121" s="402" t="s">
        <v>168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563"/>
    </row>
    <row r="122" spans="1:26" ht="15.75" customHeight="1">
      <c r="A122" s="120" t="str">
        <f>IF(B122&lt;&gt;"",IF(AND(B122&gt;=_TM1,B122&lt;=_TM2,OR(TH!L122="1111",TH!M122="1111")),TH!D122,""),"")</f>
        <v/>
      </c>
      <c r="B122" s="12">
        <f t="shared" si="4"/>
        <v>7</v>
      </c>
      <c r="C122" s="105">
        <f t="shared" si="5"/>
        <v>42580</v>
      </c>
      <c r="D122" s="105" t="s">
        <v>565</v>
      </c>
      <c r="E122" s="110">
        <v>42580</v>
      </c>
      <c r="F122" s="109" t="s">
        <v>817</v>
      </c>
      <c r="G122" s="296" t="s">
        <v>712</v>
      </c>
      <c r="H122" s="4" t="s">
        <v>370</v>
      </c>
      <c r="I122" s="133">
        <v>100</v>
      </c>
      <c r="J122" s="133">
        <v>20100</v>
      </c>
      <c r="K122" s="13">
        <f>ROUND(I122*J122,0)</f>
        <v>2010000</v>
      </c>
      <c r="L122" s="113" t="s">
        <v>251</v>
      </c>
      <c r="M122" s="402" t="s">
        <v>168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563"/>
    </row>
    <row r="123" spans="1:26" ht="15.75" customHeight="1">
      <c r="A123" s="120" t="str">
        <f>IF(B123&lt;&gt;"",IF(AND(B123&gt;=_TM1,B123&lt;=_TM2,OR(TH!L123="1111",TH!M123="1111")),TH!D123,""),"")</f>
        <v/>
      </c>
      <c r="B123" s="12">
        <f t="shared" si="4"/>
        <v>7</v>
      </c>
      <c r="C123" s="105">
        <f t="shared" si="5"/>
        <v>42580</v>
      </c>
      <c r="D123" s="105" t="s">
        <v>565</v>
      </c>
      <c r="E123" s="110">
        <v>42580</v>
      </c>
      <c r="F123" s="109" t="s">
        <v>494</v>
      </c>
      <c r="G123" s="296" t="s">
        <v>712</v>
      </c>
      <c r="H123" s="4" t="s">
        <v>370</v>
      </c>
      <c r="I123" s="133"/>
      <c r="J123" s="133"/>
      <c r="K123" s="13">
        <v>398000</v>
      </c>
      <c r="L123" s="113" t="s">
        <v>251</v>
      </c>
      <c r="M123" s="402" t="s">
        <v>350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563"/>
    </row>
    <row r="124" spans="1:26" ht="15.75" customHeight="1">
      <c r="A124" s="120" t="str">
        <f>IF(B124&lt;&gt;"",IF(AND(B124&gt;=_TM1,B124&lt;=_TM2,OR(TH!L124="1111",TH!M124="1111")),TH!D124,""),"")</f>
        <v/>
      </c>
      <c r="B124" s="12">
        <f t="shared" si="4"/>
        <v>7</v>
      </c>
      <c r="C124" s="105">
        <f t="shared" si="5"/>
        <v>42581</v>
      </c>
      <c r="D124" s="110" t="s">
        <v>638</v>
      </c>
      <c r="E124" s="105">
        <v>42581</v>
      </c>
      <c r="F124" s="109" t="s">
        <v>353</v>
      </c>
      <c r="G124" s="296" t="s">
        <v>422</v>
      </c>
      <c r="H124" s="112" t="s">
        <v>421</v>
      </c>
      <c r="I124" s="133"/>
      <c r="J124" s="133"/>
      <c r="K124" s="401">
        <v>6290000</v>
      </c>
      <c r="L124" s="402" t="s">
        <v>159</v>
      </c>
      <c r="M124" s="402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/>
      </c>
      <c r="P124" s="22" t="str">
        <f>IF(AND($L124=$O$7,$B124&lt;'111'!$N$11),"x","")</f>
        <v/>
      </c>
      <c r="Q124" s="22" t="str">
        <f>IF(AND($M124=$O$7,$B124&lt;'111'!$N$11),"x","")</f>
        <v>x</v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563">
        <v>3</v>
      </c>
    </row>
    <row r="125" spans="1:26" ht="15.75" customHeight="1">
      <c r="A125" s="120" t="str">
        <f>IF(B125&lt;&gt;"",IF(AND(B125&gt;=_TM1,B125&lt;=_TM2,OR(TH!L125="1111",TH!M125="1111")),TH!D125,""),"")</f>
        <v/>
      </c>
      <c r="B125" s="12">
        <f t="shared" si="4"/>
        <v>7</v>
      </c>
      <c r="C125" s="105">
        <f t="shared" si="5"/>
        <v>42581</v>
      </c>
      <c r="D125" s="110" t="s">
        <v>638</v>
      </c>
      <c r="E125" s="105">
        <v>42581</v>
      </c>
      <c r="F125" s="109" t="s">
        <v>423</v>
      </c>
      <c r="G125" s="296" t="s">
        <v>422</v>
      </c>
      <c r="H125" s="112" t="s">
        <v>421</v>
      </c>
      <c r="I125" s="133"/>
      <c r="J125" s="133"/>
      <c r="K125" s="401">
        <v>629000</v>
      </c>
      <c r="L125" s="402" t="s">
        <v>9</v>
      </c>
      <c r="M125" s="402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>x</v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563">
        <v>3</v>
      </c>
    </row>
    <row r="126" spans="1:26" ht="15.75" customHeight="1">
      <c r="A126" s="120" t="str">
        <f>IF(B126&lt;&gt;"",IF(AND(B126&gt;=_TM1,B126&lt;=_TM2,OR(TH!L126="1111",TH!M126="1111")),TH!D126,""),"")</f>
        <v/>
      </c>
      <c r="B126" s="12">
        <f t="shared" si="4"/>
        <v>7</v>
      </c>
      <c r="C126" s="105">
        <f t="shared" si="5"/>
        <v>42581</v>
      </c>
      <c r="D126" s="110" t="s">
        <v>462</v>
      </c>
      <c r="E126" s="105">
        <v>42581</v>
      </c>
      <c r="F126" s="109" t="s">
        <v>409</v>
      </c>
      <c r="G126" s="296" t="s">
        <v>428</v>
      </c>
      <c r="H126" s="112" t="s">
        <v>426</v>
      </c>
      <c r="I126" s="133"/>
      <c r="J126" s="133"/>
      <c r="K126" s="401">
        <v>2011090</v>
      </c>
      <c r="L126" s="402" t="s">
        <v>253</v>
      </c>
      <c r="M126" s="402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>x</v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563">
        <v>3</v>
      </c>
    </row>
    <row r="127" spans="1:26" ht="15.75" customHeight="1">
      <c r="A127" s="120" t="str">
        <f>IF(B127&lt;&gt;"",IF(AND(B127&gt;=_TM1,B127&lt;=_TM2,OR(TH!L127="1111",TH!M127="1111")),TH!D127,""),"")</f>
        <v/>
      </c>
      <c r="B127" s="12">
        <f t="shared" si="4"/>
        <v>7</v>
      </c>
      <c r="C127" s="105">
        <f t="shared" si="5"/>
        <v>42581</v>
      </c>
      <c r="D127" s="110" t="s">
        <v>462</v>
      </c>
      <c r="E127" s="105">
        <v>42581</v>
      </c>
      <c r="F127" s="109" t="s">
        <v>410</v>
      </c>
      <c r="G127" s="296" t="s">
        <v>428</v>
      </c>
      <c r="H127" s="112" t="s">
        <v>426</v>
      </c>
      <c r="I127" s="133"/>
      <c r="J127" s="133"/>
      <c r="K127" s="401">
        <v>201110</v>
      </c>
      <c r="L127" s="402" t="s">
        <v>9</v>
      </c>
      <c r="M127" s="402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/>
      </c>
      <c r="P127" s="22" t="str">
        <f>IF(AND($L127=$O$7,$B127&lt;'111'!$N$11),"x","")</f>
        <v/>
      </c>
      <c r="Q127" s="22" t="str">
        <f>IF(AND($M127=$O$7,$B127&lt;'111'!$N$11),"x","")</f>
        <v>x</v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563">
        <v>3</v>
      </c>
    </row>
    <row r="128" spans="1:26" ht="15.75" customHeight="1">
      <c r="A128" s="120" t="str">
        <f>IF(B128&lt;&gt;"",IF(AND(B128&gt;=_TM1,B128&lt;=_TM2,OR(TH!L128="1111",TH!M128="1111")),TH!D128,""),"")</f>
        <v/>
      </c>
      <c r="B128" s="12">
        <f t="shared" si="4"/>
        <v>7</v>
      </c>
      <c r="C128" s="105">
        <f t="shared" si="5"/>
        <v>42581</v>
      </c>
      <c r="D128" s="110" t="s">
        <v>464</v>
      </c>
      <c r="E128" s="105">
        <v>42581</v>
      </c>
      <c r="F128" s="109" t="s">
        <v>624</v>
      </c>
      <c r="G128" s="296"/>
      <c r="H128" s="112" t="s">
        <v>486</v>
      </c>
      <c r="I128" s="133"/>
      <c r="J128" s="133"/>
      <c r="K128" s="401">
        <f>ROUND((4*10000+20*15000+1*25000)/1.1,0)</f>
        <v>331818</v>
      </c>
      <c r="L128" s="402" t="s">
        <v>253</v>
      </c>
      <c r="M128" s="402" t="s">
        <v>46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>x</v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563">
        <v>3</v>
      </c>
    </row>
    <row r="129" spans="1:26" ht="15.75" customHeight="1">
      <c r="A129" s="120" t="str">
        <f>IF(B129&lt;&gt;"",IF(AND(B129&gt;=_TM1,B129&lt;=_TM2,OR(TH!L129="1111",TH!M129="1111")),TH!D129,""),"")</f>
        <v/>
      </c>
      <c r="B129" s="12">
        <f t="shared" si="4"/>
        <v>7</v>
      </c>
      <c r="C129" s="105">
        <f t="shared" si="5"/>
        <v>42581</v>
      </c>
      <c r="D129" s="110" t="s">
        <v>464</v>
      </c>
      <c r="E129" s="105">
        <v>42581</v>
      </c>
      <c r="F129" s="109" t="s">
        <v>625</v>
      </c>
      <c r="G129" s="296"/>
      <c r="H129" s="112" t="s">
        <v>486</v>
      </c>
      <c r="I129" s="133"/>
      <c r="J129" s="133"/>
      <c r="K129" s="401">
        <v>33182</v>
      </c>
      <c r="L129" s="402" t="s">
        <v>9</v>
      </c>
      <c r="M129" s="402" t="s">
        <v>46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>x</v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563">
        <v>3</v>
      </c>
    </row>
    <row r="130" spans="1:26" ht="15.75" customHeight="1">
      <c r="A130" s="120" t="str">
        <f>IF(B130&lt;&gt;"",IF(AND(B130&gt;=_TM1,B130&lt;=_TM2,OR(TH!L130="1111",TH!M130="1111")),TH!D130,""),"")</f>
        <v/>
      </c>
      <c r="B130" s="580">
        <f t="shared" si="4"/>
        <v>7</v>
      </c>
      <c r="C130" s="557">
        <f t="shared" si="5"/>
        <v>42582</v>
      </c>
      <c r="D130" s="557" t="s">
        <v>323</v>
      </c>
      <c r="E130" s="557">
        <v>42582</v>
      </c>
      <c r="F130" s="560" t="s">
        <v>819</v>
      </c>
      <c r="G130" s="576"/>
      <c r="H130" s="577"/>
      <c r="I130" s="559"/>
      <c r="J130" s="559"/>
      <c r="K130" s="562">
        <v>4390000</v>
      </c>
      <c r="L130" s="578" t="s">
        <v>82</v>
      </c>
      <c r="M130" s="578" t="s">
        <v>254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>x</v>
      </c>
      <c r="Y130" s="22" t="str">
        <f>IF(AND(B130&lt;=NKC!$N$8,B130&gt;=NKC!$M$8),"x","")</f>
        <v>x</v>
      </c>
      <c r="Z130" s="579"/>
    </row>
    <row r="131" spans="1:26" ht="15.75" customHeight="1">
      <c r="A131" s="120" t="str">
        <f>IF(B131&lt;&gt;"",IF(AND(B131&gt;=_TM1,B131&lt;=_TM2,OR(TH!L131="1111",TH!M131="1111")),TH!D131,""),"")</f>
        <v/>
      </c>
      <c r="B131" s="580">
        <f t="shared" si="4"/>
        <v>7</v>
      </c>
      <c r="C131" s="557">
        <f t="shared" si="5"/>
        <v>42582</v>
      </c>
      <c r="D131" s="557" t="s">
        <v>323</v>
      </c>
      <c r="E131" s="557">
        <v>42582</v>
      </c>
      <c r="F131" s="560" t="s">
        <v>820</v>
      </c>
      <c r="G131" s="576"/>
      <c r="H131" s="577"/>
      <c r="I131" s="559"/>
      <c r="J131" s="559"/>
      <c r="K131" s="562">
        <v>13960000</v>
      </c>
      <c r="L131" s="578" t="s">
        <v>159</v>
      </c>
      <c r="M131" s="578" t="s">
        <v>254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579"/>
    </row>
    <row r="132" spans="1:26" ht="15.75" customHeight="1">
      <c r="A132" s="120" t="str">
        <f>IF(B132&lt;&gt;"",IF(AND(B132&gt;=_TM1,B132&lt;=_TM2,OR(TH!L132="1111",TH!M132="1111")),TH!D132,""),"")</f>
        <v/>
      </c>
      <c r="B132" s="580">
        <f t="shared" si="4"/>
        <v>7</v>
      </c>
      <c r="C132" s="557">
        <f t="shared" si="5"/>
        <v>42582</v>
      </c>
      <c r="D132" s="557" t="s">
        <v>465</v>
      </c>
      <c r="E132" s="557">
        <v>42582</v>
      </c>
      <c r="F132" s="560" t="str">
        <f>"Thanh toán tiền lương tháng "&amp;MONTH(E132)&amp;"/"&amp;YEAR(E132)</f>
        <v>Thanh toán tiền lương tháng 7/2016</v>
      </c>
      <c r="G132" s="576"/>
      <c r="H132" s="577" t="s">
        <v>794</v>
      </c>
      <c r="I132" s="559"/>
      <c r="J132" s="559"/>
      <c r="K132" s="562">
        <f>K130+K131</f>
        <v>18350000</v>
      </c>
      <c r="L132" s="578" t="s">
        <v>254</v>
      </c>
      <c r="M132" s="578" t="s">
        <v>46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>x</v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579"/>
    </row>
    <row r="133" spans="1:26" ht="15.75" customHeight="1">
      <c r="A133" s="120" t="str">
        <f>IF(B133&lt;&gt;"",IF(AND(B133&gt;=_TM1,B133&lt;=_TM2,OR(TH!L133="1111",TH!M133="1111")),TH!D133,""),"")</f>
        <v/>
      </c>
      <c r="B133" s="12">
        <f t="shared" si="4"/>
        <v>8</v>
      </c>
      <c r="C133" s="105">
        <f t="shared" si="5"/>
        <v>42583</v>
      </c>
      <c r="D133" s="105" t="s">
        <v>468</v>
      </c>
      <c r="E133" s="105">
        <v>42583</v>
      </c>
      <c r="F133" s="109" t="s">
        <v>463</v>
      </c>
      <c r="G133" s="296" t="s">
        <v>472</v>
      </c>
      <c r="H133" s="4" t="s">
        <v>397</v>
      </c>
      <c r="I133" s="133"/>
      <c r="J133" s="133"/>
      <c r="K133" s="401">
        <v>26000000</v>
      </c>
      <c r="L133" s="113" t="s">
        <v>8</v>
      </c>
      <c r="M133" s="113" t="s">
        <v>24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>x</v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563"/>
    </row>
    <row r="134" spans="1:26" ht="15.75" customHeight="1">
      <c r="A134" s="120" t="str">
        <f>IF(B134&lt;&gt;"",IF(AND(B134&gt;=_TM1,B134&lt;=_TM2,OR(TH!L134="1111",TH!M134="1111")),TH!D134,""),"")</f>
        <v/>
      </c>
      <c r="B134" s="12">
        <f t="shared" si="4"/>
        <v>8</v>
      </c>
      <c r="C134" s="105">
        <f t="shared" si="5"/>
        <v>42583</v>
      </c>
      <c r="D134" s="105" t="s">
        <v>566</v>
      </c>
      <c r="E134" s="110">
        <v>42583</v>
      </c>
      <c r="F134" s="109" t="s">
        <v>508</v>
      </c>
      <c r="G134" s="296" t="s">
        <v>713</v>
      </c>
      <c r="H134" s="4" t="s">
        <v>688</v>
      </c>
      <c r="I134" s="4">
        <v>500</v>
      </c>
      <c r="J134" s="133">
        <v>5900</v>
      </c>
      <c r="K134" s="13">
        <f>ROUND(I134*J134,0)</f>
        <v>2950000</v>
      </c>
      <c r="L134" s="113" t="s">
        <v>251</v>
      </c>
      <c r="M134" s="402" t="s">
        <v>168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563"/>
    </row>
    <row r="135" spans="1:26" ht="15.75" customHeight="1">
      <c r="A135" s="120" t="str">
        <f>IF(B135&lt;&gt;"",IF(AND(B135&gt;=_TM1,B135&lt;=_TM2,OR(TH!L135="1111",TH!M135="1111")),TH!D135,""),"")</f>
        <v/>
      </c>
      <c r="B135" s="12">
        <f t="shared" si="4"/>
        <v>8</v>
      </c>
      <c r="C135" s="105">
        <f t="shared" si="5"/>
        <v>42583</v>
      </c>
      <c r="D135" s="105" t="s">
        <v>566</v>
      </c>
      <c r="E135" s="110">
        <v>42583</v>
      </c>
      <c r="F135" s="109" t="s">
        <v>494</v>
      </c>
      <c r="G135" s="296" t="s">
        <v>713</v>
      </c>
      <c r="H135" s="4" t="s">
        <v>688</v>
      </c>
      <c r="I135" s="133"/>
      <c r="J135" s="133"/>
      <c r="K135" s="13">
        <v>295000</v>
      </c>
      <c r="L135" s="113" t="s">
        <v>251</v>
      </c>
      <c r="M135" s="402" t="s">
        <v>350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563"/>
    </row>
    <row r="136" spans="1:26" ht="15.75" customHeight="1">
      <c r="A136" s="120" t="str">
        <f>IF(B136&lt;&gt;"",IF(AND(B136&gt;=_TM1,B136&lt;=_TM2,OR(TH!L136="1111",TH!M136="1111")),TH!D136,""),"")</f>
        <v/>
      </c>
      <c r="B136" s="12">
        <f t="shared" si="4"/>
        <v>8</v>
      </c>
      <c r="C136" s="105">
        <f t="shared" si="5"/>
        <v>42584</v>
      </c>
      <c r="D136" s="105" t="s">
        <v>567</v>
      </c>
      <c r="E136" s="110">
        <v>42584</v>
      </c>
      <c r="F136" s="109" t="s">
        <v>515</v>
      </c>
      <c r="G136" s="296" t="s">
        <v>714</v>
      </c>
      <c r="H136" s="4" t="s">
        <v>372</v>
      </c>
      <c r="I136" s="133">
        <v>606</v>
      </c>
      <c r="J136" s="133">
        <v>6000</v>
      </c>
      <c r="K136" s="13">
        <f>ROUND(I136*J136,0)</f>
        <v>3636000</v>
      </c>
      <c r="L136" s="113" t="s">
        <v>251</v>
      </c>
      <c r="M136" s="402" t="s">
        <v>168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563"/>
    </row>
    <row r="137" spans="1:26" ht="15.75" customHeight="1">
      <c r="A137" s="120" t="str">
        <f>IF(B137&lt;&gt;"",IF(AND(B137&gt;=_TM1,B137&lt;=_TM2,OR(TH!L137="1111",TH!M137="1111")),TH!D137,""),"")</f>
        <v/>
      </c>
      <c r="B137" s="12">
        <f t="shared" si="4"/>
        <v>8</v>
      </c>
      <c r="C137" s="105">
        <f t="shared" si="5"/>
        <v>42584</v>
      </c>
      <c r="D137" s="105" t="s">
        <v>567</v>
      </c>
      <c r="E137" s="110">
        <v>42584</v>
      </c>
      <c r="F137" s="109" t="s">
        <v>516</v>
      </c>
      <c r="G137" s="296" t="s">
        <v>714</v>
      </c>
      <c r="H137" s="4" t="s">
        <v>372</v>
      </c>
      <c r="I137" s="133">
        <v>404</v>
      </c>
      <c r="J137" s="133">
        <v>8600</v>
      </c>
      <c r="K137" s="13">
        <f>ROUND(I137*J137,0)</f>
        <v>3474400</v>
      </c>
      <c r="L137" s="113" t="s">
        <v>251</v>
      </c>
      <c r="M137" s="402" t="s">
        <v>168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563"/>
    </row>
    <row r="138" spans="1:26" ht="15.75" customHeight="1">
      <c r="A138" s="120" t="str">
        <f>IF(B138&lt;&gt;"",IF(AND(B138&gt;=_TM1,B138&lt;=_TM2,OR(TH!L138="1111",TH!M138="1111")),TH!D138,""),"")</f>
        <v/>
      </c>
      <c r="B138" s="12">
        <f t="shared" si="4"/>
        <v>8</v>
      </c>
      <c r="C138" s="105">
        <f t="shared" si="5"/>
        <v>42584</v>
      </c>
      <c r="D138" s="105" t="s">
        <v>567</v>
      </c>
      <c r="E138" s="110">
        <v>42584</v>
      </c>
      <c r="F138" s="109" t="s">
        <v>517</v>
      </c>
      <c r="G138" s="296" t="s">
        <v>714</v>
      </c>
      <c r="H138" s="4" t="s">
        <v>372</v>
      </c>
      <c r="I138" s="133">
        <v>304</v>
      </c>
      <c r="J138" s="133">
        <v>14200</v>
      </c>
      <c r="K138" s="13">
        <f>ROUND(I138*J138,0)</f>
        <v>4316800</v>
      </c>
      <c r="L138" s="113" t="s">
        <v>251</v>
      </c>
      <c r="M138" s="402" t="s">
        <v>168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563"/>
    </row>
    <row r="139" spans="1:26" ht="15.75" customHeight="1">
      <c r="A139" s="120" t="str">
        <f>IF(B139&lt;&gt;"",IF(AND(B139&gt;=_TM1,B139&lt;=_TM2,OR(TH!L139="1111",TH!M139="1111")),TH!D139,""),"")</f>
        <v/>
      </c>
      <c r="B139" s="12">
        <f t="shared" si="4"/>
        <v>8</v>
      </c>
      <c r="C139" s="105">
        <f t="shared" si="5"/>
        <v>42584</v>
      </c>
      <c r="D139" s="105" t="s">
        <v>567</v>
      </c>
      <c r="E139" s="110">
        <v>42584</v>
      </c>
      <c r="F139" s="109" t="s">
        <v>494</v>
      </c>
      <c r="G139" s="296" t="s">
        <v>714</v>
      </c>
      <c r="H139" s="4" t="s">
        <v>372</v>
      </c>
      <c r="I139" s="133"/>
      <c r="J139" s="133"/>
      <c r="K139" s="13">
        <v>1142720</v>
      </c>
      <c r="L139" s="113" t="s">
        <v>251</v>
      </c>
      <c r="M139" s="402" t="s">
        <v>350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563"/>
    </row>
    <row r="140" spans="1:26" ht="15.75" customHeight="1">
      <c r="A140" s="120" t="str">
        <f>IF(B140&lt;&gt;"",IF(AND(B140&gt;=_TM1,B140&lt;=_TM2,OR(TH!L140="1111",TH!M140="1111")),TH!D140,""),"")</f>
        <v/>
      </c>
      <c r="B140" s="12">
        <f t="shared" si="4"/>
        <v>8</v>
      </c>
      <c r="C140" s="105">
        <f t="shared" si="5"/>
        <v>42584</v>
      </c>
      <c r="D140" s="105" t="s">
        <v>568</v>
      </c>
      <c r="E140" s="110">
        <v>42584</v>
      </c>
      <c r="F140" s="109" t="s">
        <v>518</v>
      </c>
      <c r="G140" s="296" t="s">
        <v>715</v>
      </c>
      <c r="H140" s="4" t="s">
        <v>363</v>
      </c>
      <c r="I140" s="133">
        <v>1335</v>
      </c>
      <c r="J140" s="133">
        <v>5000</v>
      </c>
      <c r="K140" s="13">
        <f>ROUND(I140*J140,0)</f>
        <v>6675000</v>
      </c>
      <c r="L140" s="113" t="s">
        <v>251</v>
      </c>
      <c r="M140" s="402" t="s">
        <v>168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563"/>
    </row>
    <row r="141" spans="1:26" ht="15.75" customHeight="1">
      <c r="A141" s="120" t="str">
        <f>IF(B141&lt;&gt;"",IF(AND(B141&gt;=_TM1,B141&lt;=_TM2,OR(TH!L141="1111",TH!M141="1111")),TH!D141,""),"")</f>
        <v/>
      </c>
      <c r="B141" s="12">
        <f t="shared" si="4"/>
        <v>8</v>
      </c>
      <c r="C141" s="105">
        <f t="shared" si="5"/>
        <v>42584</v>
      </c>
      <c r="D141" s="105" t="s">
        <v>568</v>
      </c>
      <c r="E141" s="110">
        <v>42584</v>
      </c>
      <c r="F141" s="109" t="s">
        <v>519</v>
      </c>
      <c r="G141" s="296" t="s">
        <v>715</v>
      </c>
      <c r="H141" s="4" t="s">
        <v>363</v>
      </c>
      <c r="I141" s="133">
        <v>302</v>
      </c>
      <c r="J141" s="133">
        <v>5100</v>
      </c>
      <c r="K141" s="13">
        <f>ROUND(I141*J141,0)</f>
        <v>1540200</v>
      </c>
      <c r="L141" s="113" t="s">
        <v>251</v>
      </c>
      <c r="M141" s="402" t="s">
        <v>168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563"/>
    </row>
    <row r="142" spans="1:26" ht="15.75" customHeight="1">
      <c r="A142" s="120" t="str">
        <f>IF(B142&lt;&gt;"",IF(AND(B142&gt;=_TM1,B142&lt;=_TM2,OR(TH!L142="1111",TH!M142="1111")),TH!D142,""),"")</f>
        <v/>
      </c>
      <c r="B142" s="12">
        <f t="shared" si="4"/>
        <v>8</v>
      </c>
      <c r="C142" s="105">
        <f t="shared" si="5"/>
        <v>42584</v>
      </c>
      <c r="D142" s="105" t="s">
        <v>568</v>
      </c>
      <c r="E142" s="110">
        <v>42584</v>
      </c>
      <c r="F142" s="109" t="s">
        <v>520</v>
      </c>
      <c r="G142" s="296" t="s">
        <v>715</v>
      </c>
      <c r="H142" s="4" t="s">
        <v>363</v>
      </c>
      <c r="I142" s="133">
        <v>420</v>
      </c>
      <c r="J142" s="133">
        <v>9700</v>
      </c>
      <c r="K142" s="13">
        <f>ROUND(I142*J142,0)</f>
        <v>4074000</v>
      </c>
      <c r="L142" s="113" t="s">
        <v>251</v>
      </c>
      <c r="M142" s="402" t="s">
        <v>168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563"/>
    </row>
    <row r="143" spans="1:26" ht="15.75" customHeight="1">
      <c r="A143" s="120" t="str">
        <f>IF(B143&lt;&gt;"",IF(AND(B143&gt;=_TM1,B143&lt;=_TM2,OR(TH!L143="1111",TH!M143="1111")),TH!D143,""),"")</f>
        <v/>
      </c>
      <c r="B143" s="12">
        <f t="shared" si="4"/>
        <v>8</v>
      </c>
      <c r="C143" s="105">
        <f t="shared" si="5"/>
        <v>42584</v>
      </c>
      <c r="D143" s="105" t="s">
        <v>568</v>
      </c>
      <c r="E143" s="110">
        <v>42584</v>
      </c>
      <c r="F143" s="109" t="s">
        <v>494</v>
      </c>
      <c r="G143" s="296" t="s">
        <v>715</v>
      </c>
      <c r="H143" s="4" t="s">
        <v>363</v>
      </c>
      <c r="I143" s="133"/>
      <c r="J143" s="133"/>
      <c r="K143" s="13">
        <v>1228920</v>
      </c>
      <c r="L143" s="113" t="s">
        <v>251</v>
      </c>
      <c r="M143" s="402" t="s">
        <v>350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563"/>
    </row>
    <row r="144" spans="1:26" ht="15.75" customHeight="1">
      <c r="A144" s="120" t="str">
        <f>IF(B144&lt;&gt;"",IF(AND(B144&gt;=_TM1,B144&lt;=_TM2,OR(TH!L144="1111",TH!M144="1111")),TH!D144,""),"")</f>
        <v/>
      </c>
      <c r="B144" s="12">
        <f t="shared" si="4"/>
        <v>8</v>
      </c>
      <c r="C144" s="105">
        <f t="shared" si="5"/>
        <v>42585</v>
      </c>
      <c r="D144" s="105" t="s">
        <v>991</v>
      </c>
      <c r="E144" s="110">
        <v>42585</v>
      </c>
      <c r="F144" s="111" t="s">
        <v>482</v>
      </c>
      <c r="G144" s="296" t="s">
        <v>1023</v>
      </c>
      <c r="H144" s="4" t="s">
        <v>364</v>
      </c>
      <c r="I144" s="133"/>
      <c r="J144" s="133"/>
      <c r="K144" s="13">
        <f>9574950+6763900</f>
        <v>16338850</v>
      </c>
      <c r="L144" s="113" t="s">
        <v>46</v>
      </c>
      <c r="M144" s="402" t="s">
        <v>251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/>
      </c>
      <c r="P144" s="22" t="str">
        <f>IF(AND($L144=$O$7,$B144&lt;'111'!$N$11),"x","")</f>
        <v>x</v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563"/>
    </row>
    <row r="145" spans="1:26" ht="15.75" customHeight="1">
      <c r="A145" s="120" t="str">
        <f>IF(B145&lt;&gt;"",IF(AND(B145&gt;=_TM1,B145&lt;=_TM2,OR(TH!L145="1111",TH!M145="1111")),TH!D145,""),"")</f>
        <v/>
      </c>
      <c r="B145" s="12">
        <f t="shared" ref="B145:B208" si="6">IF(C145&lt;&gt;"",MONTH(C145),"")</f>
        <v>8</v>
      </c>
      <c r="C145" s="105">
        <f t="shared" si="5"/>
        <v>42585</v>
      </c>
      <c r="D145" s="105" t="s">
        <v>569</v>
      </c>
      <c r="E145" s="110">
        <v>42585</v>
      </c>
      <c r="F145" s="109" t="s">
        <v>521</v>
      </c>
      <c r="G145" s="296" t="s">
        <v>716</v>
      </c>
      <c r="H145" s="4" t="s">
        <v>364</v>
      </c>
      <c r="I145" s="133">
        <v>427</v>
      </c>
      <c r="J145" s="133">
        <v>10200</v>
      </c>
      <c r="K145" s="13">
        <f>ROUND(I145*J145,0)</f>
        <v>4355400</v>
      </c>
      <c r="L145" s="113" t="s">
        <v>251</v>
      </c>
      <c r="M145" s="402" t="s">
        <v>168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563"/>
    </row>
    <row r="146" spans="1:26" ht="15.75" customHeight="1">
      <c r="A146" s="120" t="str">
        <f>IF(B146&lt;&gt;"",IF(AND(B146&gt;=_TM1,B146&lt;=_TM2,OR(TH!L146="1111",TH!M146="1111")),TH!D146,""),"")</f>
        <v/>
      </c>
      <c r="B146" s="12">
        <f t="shared" si="6"/>
        <v>8</v>
      </c>
      <c r="C146" s="105">
        <f t="shared" si="5"/>
        <v>42585</v>
      </c>
      <c r="D146" s="105" t="s">
        <v>569</v>
      </c>
      <c r="E146" s="110">
        <v>42585</v>
      </c>
      <c r="F146" s="109" t="s">
        <v>494</v>
      </c>
      <c r="G146" s="296" t="s">
        <v>716</v>
      </c>
      <c r="H146" s="4" t="s">
        <v>364</v>
      </c>
      <c r="I146" s="133"/>
      <c r="J146" s="133"/>
      <c r="K146" s="13">
        <v>435540</v>
      </c>
      <c r="L146" s="113" t="s">
        <v>251</v>
      </c>
      <c r="M146" s="402" t="s">
        <v>350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563"/>
    </row>
    <row r="147" spans="1:26" ht="15.75" customHeight="1">
      <c r="A147" s="120" t="str">
        <f>IF(B147&lt;&gt;"",IF(AND(B147&gt;=_TM1,B147&lt;=_TM2,OR(TH!L147="1111",TH!M147="1111")),TH!D147,""),"")</f>
        <v/>
      </c>
      <c r="B147" s="12">
        <f t="shared" si="6"/>
        <v>8</v>
      </c>
      <c r="C147" s="105">
        <f t="shared" si="5"/>
        <v>42588</v>
      </c>
      <c r="D147" s="105" t="s">
        <v>570</v>
      </c>
      <c r="E147" s="110">
        <v>42588</v>
      </c>
      <c r="F147" s="109" t="s">
        <v>536</v>
      </c>
      <c r="G147" s="296" t="s">
        <v>717</v>
      </c>
      <c r="H147" s="4" t="s">
        <v>616</v>
      </c>
      <c r="I147" s="133">
        <v>108</v>
      </c>
      <c r="J147" s="133">
        <v>6400</v>
      </c>
      <c r="K147" s="13">
        <f>ROUND(I147*J147,0)</f>
        <v>691200</v>
      </c>
      <c r="L147" s="113" t="s">
        <v>251</v>
      </c>
      <c r="M147" s="402" t="s">
        <v>168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563"/>
    </row>
    <row r="148" spans="1:26" ht="15.75" customHeight="1">
      <c r="A148" s="120" t="str">
        <f>IF(B148&lt;&gt;"",IF(AND(B148&gt;=_TM1,B148&lt;=_TM2,OR(TH!L148="1111",TH!M148="1111")),TH!D148,""),"")</f>
        <v/>
      </c>
      <c r="B148" s="12">
        <f t="shared" si="6"/>
        <v>8</v>
      </c>
      <c r="C148" s="105">
        <f t="shared" si="5"/>
        <v>42588</v>
      </c>
      <c r="D148" s="105" t="s">
        <v>570</v>
      </c>
      <c r="E148" s="110">
        <v>42588</v>
      </c>
      <c r="F148" s="109" t="s">
        <v>662</v>
      </c>
      <c r="G148" s="296" t="s">
        <v>717</v>
      </c>
      <c r="H148" s="4" t="s">
        <v>616</v>
      </c>
      <c r="I148" s="133">
        <v>103</v>
      </c>
      <c r="J148" s="133">
        <v>9400</v>
      </c>
      <c r="K148" s="13">
        <f>ROUND(I148*J148,0)</f>
        <v>968200</v>
      </c>
      <c r="L148" s="113" t="s">
        <v>251</v>
      </c>
      <c r="M148" s="402" t="s">
        <v>168</v>
      </c>
      <c r="N148" s="22" t="str">
        <f>IF(AND('331-CT'!$E$7=TH!H148,OR(L148="331",M148="331")),"331",IF(AND(OR(L148="131",M148="131"),H148='131-CT'!$E$7),"131",""))</f>
        <v/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563"/>
    </row>
    <row r="149" spans="1:26" ht="15.75" customHeight="1">
      <c r="A149" s="120" t="str">
        <f>IF(B149&lt;&gt;"",IF(AND(B149&gt;=_TM1,B149&lt;=_TM2,OR(TH!L149="1111",TH!M149="1111")),TH!D149,""),"")</f>
        <v/>
      </c>
      <c r="B149" s="12">
        <f t="shared" si="6"/>
        <v>8</v>
      </c>
      <c r="C149" s="105">
        <f t="shared" si="5"/>
        <v>42588</v>
      </c>
      <c r="D149" s="105" t="s">
        <v>570</v>
      </c>
      <c r="E149" s="110">
        <v>42588</v>
      </c>
      <c r="F149" s="109" t="s">
        <v>494</v>
      </c>
      <c r="G149" s="296" t="s">
        <v>717</v>
      </c>
      <c r="H149" s="4" t="s">
        <v>616</v>
      </c>
      <c r="I149" s="133"/>
      <c r="J149" s="133"/>
      <c r="K149" s="13">
        <v>165940</v>
      </c>
      <c r="L149" s="113" t="s">
        <v>251</v>
      </c>
      <c r="M149" s="402" t="s">
        <v>350</v>
      </c>
      <c r="N149" s="22" t="str">
        <f>IF(AND('331-CT'!$E$7=TH!H149,OR(L149="331",M149="331")),"331",IF(AND(OR(L149="131",M149="131"),H149='131-CT'!$E$7),"131",""))</f>
        <v/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563"/>
    </row>
    <row r="150" spans="1:26" ht="15.75" customHeight="1">
      <c r="A150" s="120" t="str">
        <f>IF(B150&lt;&gt;"",IF(AND(B150&gt;=_TM1,B150&lt;=_TM2,OR(TH!L150="1111",TH!M150="1111")),TH!D150,""),"")</f>
        <v/>
      </c>
      <c r="B150" s="12">
        <f t="shared" si="6"/>
        <v>8</v>
      </c>
      <c r="C150" s="105">
        <f t="shared" si="5"/>
        <v>42590</v>
      </c>
      <c r="D150" s="110" t="s">
        <v>466</v>
      </c>
      <c r="E150" s="105">
        <v>42590</v>
      </c>
      <c r="F150" s="109" t="s">
        <v>437</v>
      </c>
      <c r="G150" s="296" t="s">
        <v>436</v>
      </c>
      <c r="H150" s="112" t="s">
        <v>435</v>
      </c>
      <c r="I150" s="133"/>
      <c r="J150" s="133"/>
      <c r="K150" s="401">
        <v>1400000</v>
      </c>
      <c r="L150" s="402" t="s">
        <v>82</v>
      </c>
      <c r="M150" s="402" t="s">
        <v>46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>x</v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>x</v>
      </c>
      <c r="Y150" s="22" t="str">
        <f>IF(AND(B150&lt;=NKC!$N$8,B150&gt;=NKC!$M$8),"x","")</f>
        <v>x</v>
      </c>
      <c r="Z150" s="563">
        <v>3</v>
      </c>
    </row>
    <row r="151" spans="1:26" ht="15.75" customHeight="1">
      <c r="A151" s="120" t="str">
        <f>IF(B151&lt;&gt;"",IF(AND(B151&gt;=_TM1,B151&lt;=_TM2,OR(TH!L151="1111",TH!M151="1111")),TH!D151,""),"")</f>
        <v/>
      </c>
      <c r="B151" s="12">
        <f t="shared" si="6"/>
        <v>8</v>
      </c>
      <c r="C151" s="105">
        <f t="shared" si="5"/>
        <v>42590</v>
      </c>
      <c r="D151" s="110" t="s">
        <v>466</v>
      </c>
      <c r="E151" s="105">
        <v>42590</v>
      </c>
      <c r="F151" s="109" t="s">
        <v>438</v>
      </c>
      <c r="G151" s="296" t="s">
        <v>436</v>
      </c>
      <c r="H151" s="112" t="s">
        <v>435</v>
      </c>
      <c r="I151" s="133"/>
      <c r="J151" s="133"/>
      <c r="K151" s="401">
        <v>140000</v>
      </c>
      <c r="L151" s="402" t="s">
        <v>9</v>
      </c>
      <c r="M151" s="402" t="s">
        <v>46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>x</v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563">
        <v>3</v>
      </c>
    </row>
    <row r="152" spans="1:26" ht="15.75" customHeight="1">
      <c r="A152" s="120" t="str">
        <f>IF(B152&lt;&gt;"",IF(AND(B152&gt;=_TM1,B152&lt;=_TM2,OR(TH!L152="1111",TH!M152="1111")),TH!D152,""),"")</f>
        <v/>
      </c>
      <c r="B152" s="12">
        <f t="shared" si="6"/>
        <v>8</v>
      </c>
      <c r="C152" s="105">
        <f t="shared" si="5"/>
        <v>42591</v>
      </c>
      <c r="D152" s="105" t="s">
        <v>571</v>
      </c>
      <c r="E152" s="110">
        <v>42591</v>
      </c>
      <c r="F152" s="109" t="s">
        <v>522</v>
      </c>
      <c r="G152" s="296" t="s">
        <v>718</v>
      </c>
      <c r="H152" s="112" t="s">
        <v>614</v>
      </c>
      <c r="I152" s="133">
        <v>490</v>
      </c>
      <c r="J152" s="133">
        <v>11000</v>
      </c>
      <c r="K152" s="13">
        <f>ROUND(I152*J152,0)</f>
        <v>5390000</v>
      </c>
      <c r="L152" s="113" t="s">
        <v>251</v>
      </c>
      <c r="M152" s="402" t="s">
        <v>168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563"/>
    </row>
    <row r="153" spans="1:26" ht="15.75" customHeight="1">
      <c r="A153" s="120" t="str">
        <f>IF(B153&lt;&gt;"",IF(AND(B153&gt;=_TM1,B153&lt;=_TM2,OR(TH!L153="1111",TH!M153="1111")),TH!D153,""),"")</f>
        <v/>
      </c>
      <c r="B153" s="12">
        <f t="shared" si="6"/>
        <v>8</v>
      </c>
      <c r="C153" s="105">
        <f t="shared" si="5"/>
        <v>42591</v>
      </c>
      <c r="D153" s="105" t="s">
        <v>571</v>
      </c>
      <c r="E153" s="110">
        <v>42591</v>
      </c>
      <c r="F153" s="109" t="s">
        <v>494</v>
      </c>
      <c r="G153" s="296" t="s">
        <v>718</v>
      </c>
      <c r="H153" s="112" t="s">
        <v>614</v>
      </c>
      <c r="I153" s="133"/>
      <c r="J153" s="133"/>
      <c r="K153" s="13">
        <v>539000</v>
      </c>
      <c r="L153" s="113" t="s">
        <v>251</v>
      </c>
      <c r="M153" s="402" t="s">
        <v>350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563"/>
    </row>
    <row r="154" spans="1:26" ht="15.75" customHeight="1">
      <c r="A154" s="120" t="str">
        <f>IF(B154&lt;&gt;"",IF(AND(B154&gt;=_TM1,B154&lt;=_TM2,OR(TH!L154="1111",TH!M154="1111")),TH!D154,""),"")</f>
        <v/>
      </c>
      <c r="B154" s="12">
        <f t="shared" si="6"/>
        <v>8</v>
      </c>
      <c r="C154" s="105">
        <f t="shared" si="5"/>
        <v>42591</v>
      </c>
      <c r="D154" s="105" t="s">
        <v>992</v>
      </c>
      <c r="E154" s="110">
        <v>42591</v>
      </c>
      <c r="F154" s="111" t="s">
        <v>482</v>
      </c>
      <c r="G154" s="296" t="s">
        <v>718</v>
      </c>
      <c r="H154" s="112" t="s">
        <v>614</v>
      </c>
      <c r="I154" s="133"/>
      <c r="J154" s="133"/>
      <c r="K154" s="13">
        <v>5929000</v>
      </c>
      <c r="L154" s="113" t="s">
        <v>46</v>
      </c>
      <c r="M154" s="402" t="s">
        <v>251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/>
      </c>
      <c r="P154" s="22" t="str">
        <f>IF(AND($L154=$O$7,$B154&lt;'111'!$N$11),"x","")</f>
        <v>x</v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563"/>
    </row>
    <row r="155" spans="1:26" ht="15.75" customHeight="1">
      <c r="A155" s="120" t="str">
        <f>IF(B155&lt;&gt;"",IF(AND(B155&gt;=_TM1,B155&lt;=_TM2,OR(TH!L155="1111",TH!M155="1111")),TH!D155,""),"")</f>
        <v/>
      </c>
      <c r="B155" s="12">
        <f t="shared" si="6"/>
        <v>8</v>
      </c>
      <c r="C155" s="105">
        <f t="shared" si="5"/>
        <v>42592</v>
      </c>
      <c r="D155" s="105" t="s">
        <v>572</v>
      </c>
      <c r="E155" s="110">
        <v>42592</v>
      </c>
      <c r="F155" s="109" t="s">
        <v>524</v>
      </c>
      <c r="G155" s="296" t="s">
        <v>719</v>
      </c>
      <c r="H155" s="112" t="s">
        <v>523</v>
      </c>
      <c r="I155" s="133">
        <v>403</v>
      </c>
      <c r="J155" s="133">
        <v>20000</v>
      </c>
      <c r="K155" s="13">
        <f>ROUND(I155*J155,0)</f>
        <v>8060000</v>
      </c>
      <c r="L155" s="113" t="s">
        <v>251</v>
      </c>
      <c r="M155" s="402" t="s">
        <v>168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563"/>
    </row>
    <row r="156" spans="1:26" ht="15.75" customHeight="1">
      <c r="A156" s="120" t="str">
        <f>IF(B156&lt;&gt;"",IF(AND(B156&gt;=_TM1,B156&lt;=_TM2,OR(TH!L156="1111",TH!M156="1111")),TH!D156,""),"")</f>
        <v/>
      </c>
      <c r="B156" s="12">
        <f t="shared" si="6"/>
        <v>8</v>
      </c>
      <c r="C156" s="105">
        <f t="shared" si="5"/>
        <v>42592</v>
      </c>
      <c r="D156" s="105" t="s">
        <v>572</v>
      </c>
      <c r="E156" s="110">
        <v>42592</v>
      </c>
      <c r="F156" s="109" t="s">
        <v>494</v>
      </c>
      <c r="G156" s="296" t="s">
        <v>719</v>
      </c>
      <c r="H156" s="112" t="s">
        <v>523</v>
      </c>
      <c r="I156" s="133"/>
      <c r="J156" s="133"/>
      <c r="K156" s="13">
        <v>806000</v>
      </c>
      <c r="L156" s="113" t="s">
        <v>251</v>
      </c>
      <c r="M156" s="402" t="s">
        <v>350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563"/>
    </row>
    <row r="157" spans="1:26" ht="15.75" customHeight="1">
      <c r="A157" s="120" t="str">
        <f>IF(B157&lt;&gt;"",IF(AND(B157&gt;=_TM1,B157&lt;=_TM2,OR(TH!L157="1111",TH!M157="1111")),TH!D157,""),"")</f>
        <v/>
      </c>
      <c r="B157" s="12">
        <f t="shared" si="6"/>
        <v>8</v>
      </c>
      <c r="C157" s="105">
        <f t="shared" si="5"/>
        <v>42592</v>
      </c>
      <c r="D157" s="105" t="s">
        <v>573</v>
      </c>
      <c r="E157" s="110">
        <v>42592</v>
      </c>
      <c r="F157" s="109" t="s">
        <v>645</v>
      </c>
      <c r="G157" s="296" t="s">
        <v>720</v>
      </c>
      <c r="H157" s="4" t="s">
        <v>370</v>
      </c>
      <c r="I157" s="133">
        <v>30</v>
      </c>
      <c r="J157" s="133">
        <v>14200</v>
      </c>
      <c r="K157" s="13">
        <f>ROUND(I157*J157,0)</f>
        <v>426000</v>
      </c>
      <c r="L157" s="113" t="s">
        <v>251</v>
      </c>
      <c r="M157" s="402" t="s">
        <v>168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563"/>
    </row>
    <row r="158" spans="1:26" ht="15.75" customHeight="1">
      <c r="A158" s="120" t="str">
        <f>IF(B158&lt;&gt;"",IF(AND(B158&gt;=_TM1,B158&lt;=_TM2,OR(TH!L158="1111",TH!M158="1111")),TH!D158,""),"")</f>
        <v/>
      </c>
      <c r="B158" s="12">
        <f t="shared" si="6"/>
        <v>8</v>
      </c>
      <c r="C158" s="105">
        <f t="shared" si="5"/>
        <v>42592</v>
      </c>
      <c r="D158" s="105" t="s">
        <v>573</v>
      </c>
      <c r="E158" s="110">
        <v>42592</v>
      </c>
      <c r="F158" s="109" t="s">
        <v>648</v>
      </c>
      <c r="G158" s="296" t="s">
        <v>720</v>
      </c>
      <c r="H158" s="4" t="s">
        <v>370</v>
      </c>
      <c r="I158" s="133">
        <v>30</v>
      </c>
      <c r="J158" s="133">
        <v>15300</v>
      </c>
      <c r="K158" s="13">
        <f>ROUND(I158*J158,0)</f>
        <v>459000</v>
      </c>
      <c r="L158" s="113" t="s">
        <v>251</v>
      </c>
      <c r="M158" s="402" t="s">
        <v>168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563"/>
    </row>
    <row r="159" spans="1:26" ht="15.75" customHeight="1">
      <c r="A159" s="120" t="str">
        <f>IF(B159&lt;&gt;"",IF(AND(B159&gt;=_TM1,B159&lt;=_TM2,OR(TH!L159="1111",TH!M159="1111")),TH!D159,""),"")</f>
        <v/>
      </c>
      <c r="B159" s="12">
        <f t="shared" si="6"/>
        <v>8</v>
      </c>
      <c r="C159" s="105">
        <f t="shared" si="5"/>
        <v>42592</v>
      </c>
      <c r="D159" s="105" t="s">
        <v>573</v>
      </c>
      <c r="E159" s="110">
        <v>42592</v>
      </c>
      <c r="F159" s="109" t="s">
        <v>646</v>
      </c>
      <c r="G159" s="296" t="s">
        <v>720</v>
      </c>
      <c r="H159" s="4" t="s">
        <v>370</v>
      </c>
      <c r="I159" s="133">
        <v>30</v>
      </c>
      <c r="J159" s="133">
        <v>16500</v>
      </c>
      <c r="K159" s="13">
        <f>ROUND(I159*J159,0)</f>
        <v>495000</v>
      </c>
      <c r="L159" s="113" t="s">
        <v>251</v>
      </c>
      <c r="M159" s="402" t="s">
        <v>168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563"/>
    </row>
    <row r="160" spans="1:26" ht="15.75" customHeight="1">
      <c r="A160" s="120" t="str">
        <f>IF(B160&lt;&gt;"",IF(AND(B160&gt;=_TM1,B160&lt;=_TM2,OR(TH!L160="1111",TH!M160="1111")),TH!D160,""),"")</f>
        <v/>
      </c>
      <c r="B160" s="12">
        <f t="shared" si="6"/>
        <v>8</v>
      </c>
      <c r="C160" s="105">
        <f t="shared" si="5"/>
        <v>42592</v>
      </c>
      <c r="D160" s="105" t="s">
        <v>573</v>
      </c>
      <c r="E160" s="110">
        <v>42592</v>
      </c>
      <c r="F160" s="109" t="s">
        <v>647</v>
      </c>
      <c r="G160" s="296" t="s">
        <v>720</v>
      </c>
      <c r="H160" s="4" t="s">
        <v>370</v>
      </c>
      <c r="I160" s="133">
        <v>100</v>
      </c>
      <c r="J160" s="133">
        <v>19700</v>
      </c>
      <c r="K160" s="13">
        <f>ROUND(I160*J160,0)</f>
        <v>1970000</v>
      </c>
      <c r="L160" s="113" t="s">
        <v>251</v>
      </c>
      <c r="M160" s="402" t="s">
        <v>168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563"/>
    </row>
    <row r="161" spans="1:26" ht="15.75" customHeight="1">
      <c r="A161" s="120" t="str">
        <f>IF(B161&lt;&gt;"",IF(AND(B161&gt;=_TM1,B161&lt;=_TM2,OR(TH!L161="1111",TH!M161="1111")),TH!D161,""),"")</f>
        <v/>
      </c>
      <c r="B161" s="12">
        <f t="shared" si="6"/>
        <v>8</v>
      </c>
      <c r="C161" s="105">
        <f t="shared" si="5"/>
        <v>42592</v>
      </c>
      <c r="D161" s="105" t="s">
        <v>573</v>
      </c>
      <c r="E161" s="110">
        <v>42592</v>
      </c>
      <c r="F161" s="109" t="s">
        <v>817</v>
      </c>
      <c r="G161" s="296" t="s">
        <v>720</v>
      </c>
      <c r="H161" s="4" t="s">
        <v>370</v>
      </c>
      <c r="I161" s="133">
        <v>60</v>
      </c>
      <c r="J161" s="133">
        <v>20100</v>
      </c>
      <c r="K161" s="13">
        <f>ROUND(I161*J161,0)</f>
        <v>1206000</v>
      </c>
      <c r="L161" s="113" t="s">
        <v>251</v>
      </c>
      <c r="M161" s="402" t="s">
        <v>168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563"/>
    </row>
    <row r="162" spans="1:26" ht="15.75" customHeight="1">
      <c r="A162" s="120" t="str">
        <f>IF(B162&lt;&gt;"",IF(AND(B162&gt;=_TM1,B162&lt;=_TM2,OR(TH!L162="1111",TH!M162="1111")),TH!D162,""),"")</f>
        <v/>
      </c>
      <c r="B162" s="12">
        <f t="shared" si="6"/>
        <v>8</v>
      </c>
      <c r="C162" s="105">
        <f t="shared" si="5"/>
        <v>42592</v>
      </c>
      <c r="D162" s="105" t="s">
        <v>573</v>
      </c>
      <c r="E162" s="110">
        <v>42592</v>
      </c>
      <c r="F162" s="109" t="s">
        <v>494</v>
      </c>
      <c r="G162" s="296" t="s">
        <v>720</v>
      </c>
      <c r="H162" s="4" t="s">
        <v>370</v>
      </c>
      <c r="I162" s="133"/>
      <c r="J162" s="133"/>
      <c r="K162" s="13">
        <v>455600</v>
      </c>
      <c r="L162" s="113" t="s">
        <v>251</v>
      </c>
      <c r="M162" s="402" t="s">
        <v>350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563"/>
    </row>
    <row r="163" spans="1:26" ht="15.75" customHeight="1">
      <c r="A163" s="120" t="str">
        <f>IF(B163&lt;&gt;"",IF(AND(B163&gt;=_TM1,B163&lt;=_TM2,OR(TH!L163="1111",TH!M163="1111")),TH!D163,""),"")</f>
        <v/>
      </c>
      <c r="B163" s="12">
        <f t="shared" si="6"/>
        <v>8</v>
      </c>
      <c r="C163" s="105">
        <f t="shared" si="5"/>
        <v>42592</v>
      </c>
      <c r="D163" s="105" t="s">
        <v>574</v>
      </c>
      <c r="E163" s="110">
        <v>42592</v>
      </c>
      <c r="F163" s="109" t="s">
        <v>524</v>
      </c>
      <c r="G163" s="296" t="s">
        <v>721</v>
      </c>
      <c r="H163" s="112" t="s">
        <v>523</v>
      </c>
      <c r="I163" s="133">
        <v>403</v>
      </c>
      <c r="J163" s="133">
        <v>20000</v>
      </c>
      <c r="K163" s="13">
        <f>ROUND(I163*J163,0)</f>
        <v>8060000</v>
      </c>
      <c r="L163" s="113" t="s">
        <v>251</v>
      </c>
      <c r="M163" s="402" t="s">
        <v>168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563"/>
    </row>
    <row r="164" spans="1:26" ht="15.75" customHeight="1">
      <c r="A164" s="120" t="str">
        <f>IF(B164&lt;&gt;"",IF(AND(B164&gt;=_TM1,B164&lt;=_TM2,OR(TH!L164="1111",TH!M164="1111")),TH!D164,""),"")</f>
        <v/>
      </c>
      <c r="B164" s="12">
        <f t="shared" si="6"/>
        <v>8</v>
      </c>
      <c r="C164" s="105">
        <f t="shared" si="5"/>
        <v>42592</v>
      </c>
      <c r="D164" s="105" t="s">
        <v>574</v>
      </c>
      <c r="E164" s="110">
        <v>42592</v>
      </c>
      <c r="F164" s="109" t="s">
        <v>494</v>
      </c>
      <c r="G164" s="296" t="s">
        <v>721</v>
      </c>
      <c r="H164" s="112" t="s">
        <v>523</v>
      </c>
      <c r="I164" s="133"/>
      <c r="J164" s="133"/>
      <c r="K164" s="13">
        <v>806000</v>
      </c>
      <c r="L164" s="113" t="s">
        <v>251</v>
      </c>
      <c r="M164" s="402" t="s">
        <v>350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563"/>
    </row>
    <row r="165" spans="1:26" ht="15.75" customHeight="1">
      <c r="A165" s="120" t="str">
        <f>IF(B165&lt;&gt;"",IF(AND(B165&gt;=_TM1,B165&lt;=_TM2,OR(TH!L165="1111",TH!M165="1111")),TH!D165,""),"")</f>
        <v/>
      </c>
      <c r="B165" s="12">
        <f t="shared" si="6"/>
        <v>8</v>
      </c>
      <c r="C165" s="105">
        <f t="shared" si="5"/>
        <v>42592</v>
      </c>
      <c r="D165" s="105" t="s">
        <v>993</v>
      </c>
      <c r="E165" s="110">
        <v>42592</v>
      </c>
      <c r="F165" s="111" t="s">
        <v>482</v>
      </c>
      <c r="G165" s="296" t="s">
        <v>1027</v>
      </c>
      <c r="H165" s="112" t="s">
        <v>523</v>
      </c>
      <c r="I165" s="133"/>
      <c r="J165" s="133"/>
      <c r="K165" s="13">
        <f>8866000+8866000</f>
        <v>17732000</v>
      </c>
      <c r="L165" s="113" t="s">
        <v>46</v>
      </c>
      <c r="M165" s="402" t="s">
        <v>251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/>
      </c>
      <c r="P165" s="22" t="str">
        <f>IF(AND($L165=$O$7,$B165&lt;'111'!$N$11),"x","")</f>
        <v>x</v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563"/>
    </row>
    <row r="166" spans="1:26" ht="15.75" customHeight="1">
      <c r="A166" s="120" t="str">
        <f>IF(B166&lt;&gt;"",IF(AND(B166&gt;=_TM1,B166&lt;=_TM2,OR(TH!L166="1111",TH!M166="1111")),TH!D166,""),"")</f>
        <v/>
      </c>
      <c r="B166" s="12">
        <f t="shared" si="6"/>
        <v>8</v>
      </c>
      <c r="C166" s="105">
        <f t="shared" si="5"/>
        <v>42594</v>
      </c>
      <c r="D166" s="105" t="s">
        <v>575</v>
      </c>
      <c r="E166" s="110">
        <v>42594</v>
      </c>
      <c r="F166" s="561" t="s">
        <v>655</v>
      </c>
      <c r="G166" s="296" t="s">
        <v>722</v>
      </c>
      <c r="H166" s="4" t="s">
        <v>369</v>
      </c>
      <c r="I166" s="133">
        <v>1330</v>
      </c>
      <c r="J166" s="133">
        <v>9360</v>
      </c>
      <c r="K166" s="13">
        <f t="shared" ref="K166:K171" si="7">ROUND(I166*J166,0)</f>
        <v>12448800</v>
      </c>
      <c r="L166" s="113" t="s">
        <v>251</v>
      </c>
      <c r="M166" s="402" t="s">
        <v>168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563"/>
    </row>
    <row r="167" spans="1:26" ht="15.75" customHeight="1">
      <c r="A167" s="120" t="str">
        <f>IF(B167&lt;&gt;"",IF(AND(B167&gt;=_TM1,B167&lt;=_TM2,OR(TH!L167="1111",TH!M167="1111")),TH!D167,""),"")</f>
        <v/>
      </c>
      <c r="B167" s="12">
        <f t="shared" si="6"/>
        <v>8</v>
      </c>
      <c r="C167" s="105">
        <f t="shared" si="5"/>
        <v>42594</v>
      </c>
      <c r="D167" s="105" t="s">
        <v>575</v>
      </c>
      <c r="E167" s="110">
        <v>42594</v>
      </c>
      <c r="F167" s="109" t="s">
        <v>655</v>
      </c>
      <c r="G167" s="296" t="s">
        <v>722</v>
      </c>
      <c r="H167" s="4" t="s">
        <v>369</v>
      </c>
      <c r="I167" s="133">
        <v>80</v>
      </c>
      <c r="J167" s="133">
        <v>9200</v>
      </c>
      <c r="K167" s="13">
        <f t="shared" si="7"/>
        <v>736000</v>
      </c>
      <c r="L167" s="113" t="s">
        <v>251</v>
      </c>
      <c r="M167" s="402" t="s">
        <v>168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563"/>
    </row>
    <row r="168" spans="1:26" ht="15.75" customHeight="1">
      <c r="A168" s="120" t="str">
        <f>IF(B168&lt;&gt;"",IF(AND(B168&gt;=_TM1,B168&lt;=_TM2,OR(TH!L168="1111",TH!M168="1111")),TH!D168,""),"")</f>
        <v/>
      </c>
      <c r="B168" s="12">
        <f t="shared" si="6"/>
        <v>8</v>
      </c>
      <c r="C168" s="105">
        <f t="shared" ref="C168:C231" si="8">E168</f>
        <v>42594</v>
      </c>
      <c r="D168" s="105" t="s">
        <v>575</v>
      </c>
      <c r="E168" s="110">
        <v>42594</v>
      </c>
      <c r="F168" s="111" t="s">
        <v>656</v>
      </c>
      <c r="G168" s="296" t="s">
        <v>722</v>
      </c>
      <c r="H168" s="4" t="s">
        <v>369</v>
      </c>
      <c r="I168" s="133">
        <v>35</v>
      </c>
      <c r="J168" s="133">
        <v>9300</v>
      </c>
      <c r="K168" s="13">
        <f t="shared" si="7"/>
        <v>325500</v>
      </c>
      <c r="L168" s="113" t="s">
        <v>251</v>
      </c>
      <c r="M168" s="402" t="s">
        <v>168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563"/>
    </row>
    <row r="169" spans="1:26" ht="15.75" customHeight="1">
      <c r="A169" s="120" t="str">
        <f>IF(B169&lt;&gt;"",IF(AND(B169&gt;=_TM1,B169&lt;=_TM2,OR(TH!L169="1111",TH!M169="1111")),TH!D169,""),"")</f>
        <v/>
      </c>
      <c r="B169" s="12">
        <f t="shared" si="6"/>
        <v>8</v>
      </c>
      <c r="C169" s="105">
        <f t="shared" si="8"/>
        <v>42594</v>
      </c>
      <c r="D169" s="105" t="s">
        <v>575</v>
      </c>
      <c r="E169" s="110">
        <v>42594</v>
      </c>
      <c r="F169" s="109" t="s">
        <v>657</v>
      </c>
      <c r="G169" s="296" t="s">
        <v>722</v>
      </c>
      <c r="H169" s="4" t="s">
        <v>369</v>
      </c>
      <c r="I169" s="133">
        <v>90</v>
      </c>
      <c r="J169" s="133">
        <v>7500</v>
      </c>
      <c r="K169" s="13">
        <f t="shared" si="7"/>
        <v>675000</v>
      </c>
      <c r="L169" s="113" t="s">
        <v>251</v>
      </c>
      <c r="M169" s="402" t="s">
        <v>168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563"/>
    </row>
    <row r="170" spans="1:26" ht="15.75" customHeight="1">
      <c r="A170" s="120" t="str">
        <f>IF(B170&lt;&gt;"",IF(AND(B170&gt;=_TM1,B170&lt;=_TM2,OR(TH!L170="1111",TH!M170="1111")),TH!D170,""),"")</f>
        <v/>
      </c>
      <c r="B170" s="12">
        <f t="shared" si="6"/>
        <v>8</v>
      </c>
      <c r="C170" s="105">
        <f t="shared" si="8"/>
        <v>42594</v>
      </c>
      <c r="D170" s="105" t="s">
        <v>575</v>
      </c>
      <c r="E170" s="110">
        <v>42594</v>
      </c>
      <c r="F170" s="111" t="s">
        <v>658</v>
      </c>
      <c r="G170" s="296" t="s">
        <v>722</v>
      </c>
      <c r="H170" s="4" t="s">
        <v>369</v>
      </c>
      <c r="I170" s="133">
        <v>650</v>
      </c>
      <c r="J170" s="133">
        <v>6200</v>
      </c>
      <c r="K170" s="13">
        <f t="shared" si="7"/>
        <v>4030000</v>
      </c>
      <c r="L170" s="113" t="s">
        <v>251</v>
      </c>
      <c r="M170" s="402" t="s">
        <v>168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563"/>
    </row>
    <row r="171" spans="1:26" ht="15.75" customHeight="1">
      <c r="A171" s="120" t="str">
        <f>IF(B171&lt;&gt;"",IF(AND(B171&gt;=_TM1,B171&lt;=_TM2,OR(TH!L171="1111",TH!M171="1111")),TH!D171,""),"")</f>
        <v/>
      </c>
      <c r="B171" s="12">
        <f t="shared" si="6"/>
        <v>8</v>
      </c>
      <c r="C171" s="105">
        <f t="shared" si="8"/>
        <v>42594</v>
      </c>
      <c r="D171" s="105" t="s">
        <v>575</v>
      </c>
      <c r="E171" s="110">
        <v>42594</v>
      </c>
      <c r="F171" s="109" t="s">
        <v>659</v>
      </c>
      <c r="G171" s="296" t="s">
        <v>722</v>
      </c>
      <c r="H171" s="4" t="s">
        <v>369</v>
      </c>
      <c r="I171" s="133">
        <v>210</v>
      </c>
      <c r="J171" s="133">
        <v>9500</v>
      </c>
      <c r="K171" s="13">
        <f t="shared" si="7"/>
        <v>1995000</v>
      </c>
      <c r="L171" s="113" t="s">
        <v>251</v>
      </c>
      <c r="M171" s="402" t="s">
        <v>168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563"/>
    </row>
    <row r="172" spans="1:26" ht="15.75" customHeight="1">
      <c r="A172" s="120" t="str">
        <f>IF(B172&lt;&gt;"",IF(AND(B172&gt;=_TM1,B172&lt;=_TM2,OR(TH!L172="1111",TH!M172="1111")),TH!D172,""),"")</f>
        <v/>
      </c>
      <c r="B172" s="12">
        <f t="shared" si="6"/>
        <v>8</v>
      </c>
      <c r="C172" s="105">
        <f t="shared" si="8"/>
        <v>42594</v>
      </c>
      <c r="D172" s="105" t="s">
        <v>575</v>
      </c>
      <c r="E172" s="110">
        <v>42594</v>
      </c>
      <c r="F172" s="109" t="s">
        <v>494</v>
      </c>
      <c r="G172" s="296" t="s">
        <v>722</v>
      </c>
      <c r="H172" s="4" t="s">
        <v>369</v>
      </c>
      <c r="I172" s="133"/>
      <c r="J172" s="133"/>
      <c r="K172" s="13">
        <v>2021030</v>
      </c>
      <c r="L172" s="113" t="s">
        <v>251</v>
      </c>
      <c r="M172" s="402" t="s">
        <v>350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563"/>
    </row>
    <row r="173" spans="1:26" ht="15.75" customHeight="1">
      <c r="A173" s="120" t="str">
        <f>IF(B173&lt;&gt;"",IF(AND(B173&gt;=_TM1,B173&lt;=_TM2,OR(TH!L173="1111",TH!M173="1111")),TH!D173,""),"")</f>
        <v/>
      </c>
      <c r="B173" s="12">
        <f t="shared" si="6"/>
        <v>8</v>
      </c>
      <c r="C173" s="105">
        <f t="shared" si="8"/>
        <v>42595</v>
      </c>
      <c r="D173" s="105" t="s">
        <v>458</v>
      </c>
      <c r="E173" s="105">
        <v>42595</v>
      </c>
      <c r="F173" s="109" t="s">
        <v>442</v>
      </c>
      <c r="G173" s="296" t="s">
        <v>441</v>
      </c>
      <c r="H173" s="112" t="s">
        <v>440</v>
      </c>
      <c r="I173" s="133">
        <v>19810</v>
      </c>
      <c r="J173" s="133">
        <v>780</v>
      </c>
      <c r="K173" s="13">
        <f>ROUND(I173*J173,0)</f>
        <v>15451800</v>
      </c>
      <c r="L173" s="113" t="s">
        <v>155</v>
      </c>
      <c r="M173" s="113" t="s">
        <v>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>x</v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563">
        <v>3</v>
      </c>
    </row>
    <row r="174" spans="1:26" ht="15.75" customHeight="1">
      <c r="A174" s="120" t="str">
        <f>IF(B174&lt;&gt;"",IF(AND(B174&gt;=_TM1,B174&lt;=_TM2,OR(TH!L174="1111",TH!M174="1111")),TH!D174,""),"")</f>
        <v/>
      </c>
      <c r="B174" s="12">
        <f t="shared" si="6"/>
        <v>8</v>
      </c>
      <c r="C174" s="105">
        <f t="shared" si="8"/>
        <v>42595</v>
      </c>
      <c r="D174" s="105" t="s">
        <v>458</v>
      </c>
      <c r="E174" s="105">
        <v>42595</v>
      </c>
      <c r="F174" s="109" t="s">
        <v>443</v>
      </c>
      <c r="G174" s="296" t="s">
        <v>441</v>
      </c>
      <c r="H174" s="112" t="s">
        <v>440</v>
      </c>
      <c r="I174" s="133"/>
      <c r="J174" s="133"/>
      <c r="K174" s="401">
        <v>1545180</v>
      </c>
      <c r="L174" s="113" t="s">
        <v>9</v>
      </c>
      <c r="M174" s="113" t="s">
        <v>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563">
        <v>3</v>
      </c>
    </row>
    <row r="175" spans="1:26" ht="15.75" customHeight="1">
      <c r="A175" s="120" t="str">
        <f>IF(B175&lt;&gt;"",IF(AND(B175&gt;=_TM1,B175&lt;=_TM2,OR(TH!L175="1111",TH!M175="1111")),TH!D175,""),"")</f>
        <v/>
      </c>
      <c r="B175" s="12">
        <f t="shared" si="6"/>
        <v>8</v>
      </c>
      <c r="C175" s="105">
        <f t="shared" si="8"/>
        <v>42595</v>
      </c>
      <c r="D175" s="105" t="s">
        <v>639</v>
      </c>
      <c r="E175" s="105">
        <v>42595</v>
      </c>
      <c r="F175" s="109" t="s">
        <v>463</v>
      </c>
      <c r="G175" s="296" t="s">
        <v>441</v>
      </c>
      <c r="H175" s="112" t="s">
        <v>440</v>
      </c>
      <c r="I175" s="133"/>
      <c r="J175" s="133"/>
      <c r="K175" s="401">
        <v>16996980</v>
      </c>
      <c r="L175" s="113" t="s">
        <v>8</v>
      </c>
      <c r="M175" s="113" t="s">
        <v>46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>x</v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563"/>
    </row>
    <row r="176" spans="1:26" ht="15.75" customHeight="1">
      <c r="A176" s="120" t="str">
        <f>IF(B176&lt;&gt;"",IF(AND(B176&gt;=_TM1,B176&lt;=_TM2,OR(TH!L176="1111",TH!M176="1111")),TH!D176,""),"")</f>
        <v/>
      </c>
      <c r="B176" s="12">
        <f t="shared" si="6"/>
        <v>8</v>
      </c>
      <c r="C176" s="105">
        <f t="shared" si="8"/>
        <v>42597</v>
      </c>
      <c r="D176" s="105" t="s">
        <v>576</v>
      </c>
      <c r="E176" s="110">
        <v>42597</v>
      </c>
      <c r="F176" s="109" t="s">
        <v>525</v>
      </c>
      <c r="G176" s="296" t="s">
        <v>723</v>
      </c>
      <c r="H176" s="4" t="s">
        <v>618</v>
      </c>
      <c r="I176" s="133">
        <v>429</v>
      </c>
      <c r="J176" s="133">
        <v>6000</v>
      </c>
      <c r="K176" s="13">
        <f>ROUND(I176*J176,0)</f>
        <v>2574000</v>
      </c>
      <c r="L176" s="113" t="s">
        <v>251</v>
      </c>
      <c r="M176" s="402" t="s">
        <v>168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563"/>
    </row>
    <row r="177" spans="1:26" ht="15.75" customHeight="1">
      <c r="A177" s="120" t="str">
        <f>IF(B177&lt;&gt;"",IF(AND(B177&gt;=_TM1,B177&lt;=_TM2,OR(TH!L177="1111",TH!M177="1111")),TH!D177,""),"")</f>
        <v/>
      </c>
      <c r="B177" s="12">
        <f t="shared" si="6"/>
        <v>8</v>
      </c>
      <c r="C177" s="105">
        <f t="shared" si="8"/>
        <v>42597</v>
      </c>
      <c r="D177" s="105" t="s">
        <v>576</v>
      </c>
      <c r="E177" s="110">
        <v>42597</v>
      </c>
      <c r="F177" s="109" t="s">
        <v>526</v>
      </c>
      <c r="G177" s="296" t="s">
        <v>723</v>
      </c>
      <c r="H177" s="4" t="s">
        <v>618</v>
      </c>
      <c r="I177" s="133">
        <v>370</v>
      </c>
      <c r="J177" s="133">
        <v>6600</v>
      </c>
      <c r="K177" s="13">
        <f>ROUND(I177*J177,0)</f>
        <v>2442000</v>
      </c>
      <c r="L177" s="113" t="s">
        <v>251</v>
      </c>
      <c r="M177" s="402" t="s">
        <v>168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563"/>
    </row>
    <row r="178" spans="1:26" ht="15.75" customHeight="1">
      <c r="A178" s="120" t="str">
        <f>IF(B178&lt;&gt;"",IF(AND(B178&gt;=_TM1,B178&lt;=_TM2,OR(TH!L178="1111",TH!M178="1111")),TH!D178,""),"")</f>
        <v/>
      </c>
      <c r="B178" s="12">
        <f t="shared" si="6"/>
        <v>8</v>
      </c>
      <c r="C178" s="105">
        <f t="shared" si="8"/>
        <v>42597</v>
      </c>
      <c r="D178" s="105" t="s">
        <v>576</v>
      </c>
      <c r="E178" s="110">
        <v>42597</v>
      </c>
      <c r="F178" s="109" t="s">
        <v>494</v>
      </c>
      <c r="G178" s="296" t="s">
        <v>723</v>
      </c>
      <c r="H178" s="4" t="s">
        <v>618</v>
      </c>
      <c r="I178" s="133"/>
      <c r="J178" s="133"/>
      <c r="K178" s="13">
        <v>501600</v>
      </c>
      <c r="L178" s="113" t="s">
        <v>251</v>
      </c>
      <c r="M178" s="402" t="s">
        <v>350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563"/>
    </row>
    <row r="179" spans="1:26" ht="15.75" customHeight="1">
      <c r="A179" s="120" t="str">
        <f>IF(B179&lt;&gt;"",IF(AND(B179&gt;=_TM1,B179&lt;=_TM2,OR(TH!L179="1111",TH!M179="1111")),TH!D179,""),"")</f>
        <v/>
      </c>
      <c r="B179" s="12">
        <f t="shared" si="6"/>
        <v>8</v>
      </c>
      <c r="C179" s="105">
        <f t="shared" si="8"/>
        <v>42597</v>
      </c>
      <c r="D179" s="105" t="s">
        <v>577</v>
      </c>
      <c r="E179" s="110">
        <v>42597</v>
      </c>
      <c r="F179" s="109" t="s">
        <v>527</v>
      </c>
      <c r="G179" s="296" t="s">
        <v>724</v>
      </c>
      <c r="H179" s="4" t="s">
        <v>367</v>
      </c>
      <c r="I179" s="133">
        <v>130</v>
      </c>
      <c r="J179" s="133">
        <v>47449</v>
      </c>
      <c r="K179" s="13">
        <f>ROUND(I179*J179,0)</f>
        <v>6168370</v>
      </c>
      <c r="L179" s="113" t="s">
        <v>251</v>
      </c>
      <c r="M179" s="402" t="s">
        <v>168</v>
      </c>
      <c r="N179" s="22" t="str">
        <f>IF(AND('331-CT'!$E$7=TH!H179,OR(L179="331",M179="331")),"331",IF(AND(OR(L179="131",M179="131"),H179='131-CT'!$E$7),"131",""))</f>
        <v>131</v>
      </c>
      <c r="O179" s="22" t="str">
        <f>IF(AND($B179&gt;='111'!$N$11,$B179&lt;='111'!$O$11,OR($L179=$O$7,$M179=$O$7)),"x","")</f>
        <v/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563"/>
    </row>
    <row r="180" spans="1:26" ht="15.75" customHeight="1">
      <c r="A180" s="120" t="str">
        <f>IF(B180&lt;&gt;"",IF(AND(B180&gt;=_TM1,B180&lt;=_TM2,OR(TH!L180="1111",TH!M180="1111")),TH!D180,""),"")</f>
        <v/>
      </c>
      <c r="B180" s="12">
        <f t="shared" si="6"/>
        <v>8</v>
      </c>
      <c r="C180" s="105">
        <f t="shared" si="8"/>
        <v>42597</v>
      </c>
      <c r="D180" s="105" t="s">
        <v>577</v>
      </c>
      <c r="E180" s="110">
        <v>42597</v>
      </c>
      <c r="F180" s="109" t="s">
        <v>494</v>
      </c>
      <c r="G180" s="296" t="s">
        <v>724</v>
      </c>
      <c r="H180" s="4" t="s">
        <v>367</v>
      </c>
      <c r="I180" s="133"/>
      <c r="J180" s="133"/>
      <c r="K180" s="13">
        <v>616837</v>
      </c>
      <c r="L180" s="113" t="s">
        <v>251</v>
      </c>
      <c r="M180" s="402" t="s">
        <v>350</v>
      </c>
      <c r="N180" s="22" t="str">
        <f>IF(AND('331-CT'!$E$7=TH!H180,OR(L180="331",M180="331")),"331",IF(AND(OR(L180="131",M180="131"),H180='131-CT'!$E$7),"131",""))</f>
        <v>131</v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563"/>
    </row>
    <row r="181" spans="1:26" ht="15.75" customHeight="1">
      <c r="A181" s="120" t="str">
        <f>IF(B181&lt;&gt;"",IF(AND(B181&gt;=_TM1,B181&lt;=_TM2,OR(TH!L181="1111",TH!M181="1111")),TH!D181,""),"")</f>
        <v/>
      </c>
      <c r="B181" s="12">
        <f t="shared" si="6"/>
        <v>8</v>
      </c>
      <c r="C181" s="105">
        <f t="shared" si="8"/>
        <v>42597</v>
      </c>
      <c r="D181" s="105" t="s">
        <v>994</v>
      </c>
      <c r="E181" s="110">
        <v>42597</v>
      </c>
      <c r="F181" s="111" t="s">
        <v>482</v>
      </c>
      <c r="G181" s="296" t="s">
        <v>724</v>
      </c>
      <c r="H181" s="4" t="s">
        <v>367</v>
      </c>
      <c r="I181" s="133"/>
      <c r="J181" s="133"/>
      <c r="K181" s="13">
        <v>6785207</v>
      </c>
      <c r="L181" s="113" t="s">
        <v>46</v>
      </c>
      <c r="M181" s="402" t="s">
        <v>251</v>
      </c>
      <c r="N181" s="22" t="str">
        <f>IF(AND('331-CT'!$E$7=TH!H181,OR(L181="331",M181="331")),"331",IF(AND(OR(L181="131",M181="131"),H181='131-CT'!$E$7),"131",""))</f>
        <v>131</v>
      </c>
      <c r="O181" s="22" t="str">
        <f>IF(AND($B181&gt;='111'!$N$11,$B181&lt;='111'!$O$11,OR($L181=$O$7,$M181=$O$7)),"x","")</f>
        <v/>
      </c>
      <c r="P181" s="22" t="str">
        <f>IF(AND($L181=$O$7,$B181&lt;'111'!$N$11),"x","")</f>
        <v>x</v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563"/>
    </row>
    <row r="182" spans="1:26" ht="15.75" customHeight="1">
      <c r="A182" s="120" t="str">
        <f>IF(B182&lt;&gt;"",IF(AND(B182&gt;=_TM1,B182&lt;=_TM2,OR(TH!L182="1111",TH!M182="1111")),TH!D182,""),"")</f>
        <v/>
      </c>
      <c r="B182" s="12">
        <f t="shared" si="6"/>
        <v>8</v>
      </c>
      <c r="C182" s="105">
        <f t="shared" si="8"/>
        <v>42599</v>
      </c>
      <c r="D182" s="105" t="s">
        <v>467</v>
      </c>
      <c r="E182" s="105">
        <v>42599</v>
      </c>
      <c r="F182" s="109" t="s">
        <v>482</v>
      </c>
      <c r="G182" s="296" t="s">
        <v>472</v>
      </c>
      <c r="H182" s="4" t="s">
        <v>366</v>
      </c>
      <c r="I182" s="133"/>
      <c r="J182" s="133"/>
      <c r="K182" s="401">
        <v>12160500</v>
      </c>
      <c r="L182" s="402" t="s">
        <v>24</v>
      </c>
      <c r="M182" s="402" t="s">
        <v>251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>x</v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563"/>
    </row>
    <row r="183" spans="1:26" ht="15.75" customHeight="1">
      <c r="A183" s="120" t="str">
        <f>IF(B183&lt;&gt;"",IF(AND(B183&gt;=_TM1,B183&lt;=_TM2,OR(TH!L183="1111",TH!M183="1111")),TH!D183,""),"")</f>
        <v/>
      </c>
      <c r="B183" s="12">
        <f t="shared" si="6"/>
        <v>8</v>
      </c>
      <c r="C183" s="105">
        <f t="shared" si="8"/>
        <v>42599</v>
      </c>
      <c r="D183" s="105" t="s">
        <v>640</v>
      </c>
      <c r="E183" s="105">
        <v>42599</v>
      </c>
      <c r="F183" s="109" t="s">
        <v>469</v>
      </c>
      <c r="G183" s="296" t="s">
        <v>472</v>
      </c>
      <c r="H183" s="4" t="s">
        <v>473</v>
      </c>
      <c r="I183" s="133"/>
      <c r="J183" s="133"/>
      <c r="K183" s="13">
        <v>800000</v>
      </c>
      <c r="L183" s="113" t="s">
        <v>24</v>
      </c>
      <c r="M183" s="113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/>
      </c>
      <c r="P183" s="22" t="str">
        <f>IF(AND($L183=$O$7,$B183&lt;'111'!$N$11),"x","")</f>
        <v/>
      </c>
      <c r="Q183" s="22" t="str">
        <f>IF(AND($M183=$O$7,$B183&lt;'111'!$N$11),"x","")</f>
        <v>x</v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>x</v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563"/>
    </row>
    <row r="184" spans="1:26" ht="15.75" customHeight="1">
      <c r="A184" s="120" t="str">
        <f>IF(B184&lt;&gt;"",IF(AND(B184&gt;=_TM1,B184&lt;=_TM2,OR(TH!L184="1111",TH!M184="1111")),TH!D184,""),"")</f>
        <v/>
      </c>
      <c r="B184" s="12">
        <f t="shared" si="6"/>
        <v>8</v>
      </c>
      <c r="C184" s="105">
        <f t="shared" si="8"/>
        <v>42599</v>
      </c>
      <c r="D184" s="105" t="s">
        <v>995</v>
      </c>
      <c r="E184" s="105">
        <v>42599</v>
      </c>
      <c r="F184" s="109" t="s">
        <v>483</v>
      </c>
      <c r="G184" s="296" t="s">
        <v>472</v>
      </c>
      <c r="H184" s="4" t="s">
        <v>473</v>
      </c>
      <c r="I184" s="133"/>
      <c r="J184" s="133"/>
      <c r="K184" s="401">
        <v>13000000</v>
      </c>
      <c r="L184" s="402" t="s">
        <v>46</v>
      </c>
      <c r="M184" s="402" t="s">
        <v>24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/>
      </c>
      <c r="P184" s="22" t="str">
        <f>IF(AND($L184=$O$7,$B184&lt;'111'!$N$11),"x","")</f>
        <v>x</v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>x</v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563"/>
    </row>
    <row r="185" spans="1:26" ht="15.75" customHeight="1">
      <c r="A185" s="120" t="str">
        <f>IF(B185&lt;&gt;"",IF(AND(B185&gt;=_TM1,B185&lt;=_TM2,OR(TH!L185="1111",TH!M185="1111")),TH!D185,""),"")</f>
        <v/>
      </c>
      <c r="B185" s="12">
        <f t="shared" si="6"/>
        <v>8</v>
      </c>
      <c r="C185" s="105">
        <f t="shared" si="8"/>
        <v>42599</v>
      </c>
      <c r="D185" s="105" t="s">
        <v>578</v>
      </c>
      <c r="E185" s="110">
        <v>42599</v>
      </c>
      <c r="F185" s="109" t="s">
        <v>528</v>
      </c>
      <c r="G185" s="296" t="s">
        <v>725</v>
      </c>
      <c r="H185" s="4" t="s">
        <v>364</v>
      </c>
      <c r="I185" s="133">
        <v>309</v>
      </c>
      <c r="J185" s="133">
        <v>7500</v>
      </c>
      <c r="K185" s="13">
        <f>ROUND(I185*J185,0)</f>
        <v>2317500</v>
      </c>
      <c r="L185" s="113" t="s">
        <v>251</v>
      </c>
      <c r="M185" s="402" t="s">
        <v>168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563"/>
    </row>
    <row r="186" spans="1:26" ht="15.75" customHeight="1">
      <c r="A186" s="120" t="str">
        <f>IF(B186&lt;&gt;"",IF(AND(B186&gt;=_TM1,B186&lt;=_TM2,OR(TH!L186="1111",TH!M186="1111")),TH!D186,""),"")</f>
        <v/>
      </c>
      <c r="B186" s="12">
        <f t="shared" si="6"/>
        <v>8</v>
      </c>
      <c r="C186" s="105">
        <f t="shared" si="8"/>
        <v>42599</v>
      </c>
      <c r="D186" s="105" t="s">
        <v>578</v>
      </c>
      <c r="E186" s="110">
        <v>42599</v>
      </c>
      <c r="F186" s="109" t="s">
        <v>494</v>
      </c>
      <c r="G186" s="296" t="s">
        <v>725</v>
      </c>
      <c r="H186" s="4" t="s">
        <v>364</v>
      </c>
      <c r="I186" s="133"/>
      <c r="J186" s="133"/>
      <c r="K186" s="13">
        <v>231750</v>
      </c>
      <c r="L186" s="113" t="s">
        <v>251</v>
      </c>
      <c r="M186" s="402" t="s">
        <v>350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563"/>
    </row>
    <row r="187" spans="1:26" ht="15.75" customHeight="1">
      <c r="A187" s="120" t="str">
        <f>IF(B187&lt;&gt;"",IF(AND(B187&gt;=_TM1,B187&lt;=_TM2,OR(TH!L187="1111",TH!M187="1111")),TH!D187,""),"")</f>
        <v/>
      </c>
      <c r="B187" s="12">
        <f t="shared" si="6"/>
        <v>8</v>
      </c>
      <c r="C187" s="105">
        <f t="shared" si="8"/>
        <v>42599</v>
      </c>
      <c r="D187" s="105" t="s">
        <v>579</v>
      </c>
      <c r="E187" s="110">
        <v>42599</v>
      </c>
      <c r="F187" s="109" t="s">
        <v>529</v>
      </c>
      <c r="G187" s="296" t="s">
        <v>726</v>
      </c>
      <c r="H187" s="4" t="s">
        <v>615</v>
      </c>
      <c r="I187" s="133">
        <v>19</v>
      </c>
      <c r="J187" s="133">
        <v>10800</v>
      </c>
      <c r="K187" s="13">
        <f>ROUND(I187*J187,0)</f>
        <v>205200</v>
      </c>
      <c r="L187" s="113" t="s">
        <v>251</v>
      </c>
      <c r="M187" s="402" t="s">
        <v>168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563"/>
    </row>
    <row r="188" spans="1:26" ht="15.75" customHeight="1">
      <c r="A188" s="120" t="str">
        <f>IF(B188&lt;&gt;"",IF(AND(B188&gt;=_TM1,B188&lt;=_TM2,OR(TH!L188="1111",TH!M188="1111")),TH!D188,""),"")</f>
        <v/>
      </c>
      <c r="B188" s="12">
        <f t="shared" si="6"/>
        <v>8</v>
      </c>
      <c r="C188" s="105">
        <f t="shared" si="8"/>
        <v>42599</v>
      </c>
      <c r="D188" s="105" t="s">
        <v>579</v>
      </c>
      <c r="E188" s="110">
        <v>42599</v>
      </c>
      <c r="F188" s="109" t="s">
        <v>530</v>
      </c>
      <c r="G188" s="296" t="s">
        <v>726</v>
      </c>
      <c r="H188" s="4" t="s">
        <v>615</v>
      </c>
      <c r="I188" s="133">
        <v>206</v>
      </c>
      <c r="J188" s="133">
        <v>9300</v>
      </c>
      <c r="K188" s="13">
        <f>ROUND(I188*J188,0)</f>
        <v>1915800</v>
      </c>
      <c r="L188" s="113" t="s">
        <v>251</v>
      </c>
      <c r="M188" s="402" t="s">
        <v>168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563"/>
    </row>
    <row r="189" spans="1:26" ht="15.75" customHeight="1">
      <c r="A189" s="120" t="str">
        <f>IF(B189&lt;&gt;"",IF(AND(B189&gt;=_TM1,B189&lt;=_TM2,OR(TH!L189="1111",TH!M189="1111")),TH!D189,""),"")</f>
        <v/>
      </c>
      <c r="B189" s="12">
        <f t="shared" si="6"/>
        <v>8</v>
      </c>
      <c r="C189" s="105">
        <f t="shared" si="8"/>
        <v>42599</v>
      </c>
      <c r="D189" s="105" t="s">
        <v>579</v>
      </c>
      <c r="E189" s="110">
        <v>42599</v>
      </c>
      <c r="F189" s="109" t="s">
        <v>494</v>
      </c>
      <c r="G189" s="296" t="s">
        <v>726</v>
      </c>
      <c r="H189" s="4" t="s">
        <v>615</v>
      </c>
      <c r="I189" s="133"/>
      <c r="J189" s="133"/>
      <c r="K189" s="13">
        <v>212100</v>
      </c>
      <c r="L189" s="113" t="s">
        <v>251</v>
      </c>
      <c r="M189" s="402" t="s">
        <v>350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563"/>
    </row>
    <row r="190" spans="1:26" ht="15.75" customHeight="1">
      <c r="A190" s="120" t="str">
        <f>IF(B190&lt;&gt;"",IF(AND(B190&gt;=_TM1,B190&lt;=_TM2,OR(TH!L190="1111",TH!M190="1111")),TH!D190,""),"")</f>
        <v/>
      </c>
      <c r="B190" s="12">
        <f t="shared" si="6"/>
        <v>8</v>
      </c>
      <c r="C190" s="105">
        <f t="shared" si="8"/>
        <v>42599</v>
      </c>
      <c r="D190" s="105" t="s">
        <v>996</v>
      </c>
      <c r="E190" s="110">
        <v>42599</v>
      </c>
      <c r="F190" s="111" t="s">
        <v>482</v>
      </c>
      <c r="G190" s="296" t="s">
        <v>726</v>
      </c>
      <c r="H190" s="4" t="s">
        <v>615</v>
      </c>
      <c r="I190" s="133"/>
      <c r="J190" s="133"/>
      <c r="K190" s="13">
        <v>2333100</v>
      </c>
      <c r="L190" s="113" t="s">
        <v>46</v>
      </c>
      <c r="M190" s="402" t="s">
        <v>251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>x</v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563"/>
    </row>
    <row r="191" spans="1:26" ht="15.75" customHeight="1">
      <c r="A191" s="120" t="str">
        <f>IF(B191&lt;&gt;"",IF(AND(B191&gt;=_TM1,B191&lt;=_TM2,OR(TH!L191="1111",TH!M191="1111")),TH!D191,""),"")</f>
        <v/>
      </c>
      <c r="B191" s="12">
        <f t="shared" si="6"/>
        <v>8</v>
      </c>
      <c r="C191" s="105">
        <f t="shared" si="8"/>
        <v>42601</v>
      </c>
      <c r="D191" s="105" t="s">
        <v>459</v>
      </c>
      <c r="E191" s="105">
        <v>42601</v>
      </c>
      <c r="F191" s="109" t="s">
        <v>442</v>
      </c>
      <c r="G191" s="296" t="s">
        <v>444</v>
      </c>
      <c r="H191" s="112" t="s">
        <v>440</v>
      </c>
      <c r="I191" s="133">
        <v>14330</v>
      </c>
      <c r="J191" s="133">
        <v>780</v>
      </c>
      <c r="K191" s="13">
        <f>ROUND(I191*J191,0)</f>
        <v>11177400</v>
      </c>
      <c r="L191" s="113" t="s">
        <v>155</v>
      </c>
      <c r="M191" s="113" t="s">
        <v>8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>x</v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563">
        <v>3</v>
      </c>
    </row>
    <row r="192" spans="1:26" ht="15.75" customHeight="1">
      <c r="A192" s="120" t="str">
        <f>IF(B192&lt;&gt;"",IF(AND(B192&gt;=_TM1,B192&lt;=_TM2,OR(TH!L192="1111",TH!M192="1111")),TH!D192,""),"")</f>
        <v/>
      </c>
      <c r="B192" s="12">
        <f t="shared" si="6"/>
        <v>8</v>
      </c>
      <c r="C192" s="105">
        <f t="shared" si="8"/>
        <v>42601</v>
      </c>
      <c r="D192" s="105" t="s">
        <v>459</v>
      </c>
      <c r="E192" s="105">
        <v>42601</v>
      </c>
      <c r="F192" s="109" t="s">
        <v>443</v>
      </c>
      <c r="G192" s="296" t="s">
        <v>444</v>
      </c>
      <c r="H192" s="112" t="s">
        <v>440</v>
      </c>
      <c r="I192" s="133"/>
      <c r="J192" s="133"/>
      <c r="K192" s="401">
        <v>1117740</v>
      </c>
      <c r="L192" s="113" t="s">
        <v>9</v>
      </c>
      <c r="M192" s="113" t="s">
        <v>8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563">
        <v>3</v>
      </c>
    </row>
    <row r="193" spans="1:26" ht="15.75" customHeight="1">
      <c r="A193" s="120" t="str">
        <f>IF(B193&lt;&gt;"",IF(AND(B193&gt;=_TM1,B193&lt;=_TM2,OR(TH!L193="1111",TH!M193="1111")),TH!D193,""),"")</f>
        <v/>
      </c>
      <c r="B193" s="12">
        <f t="shared" si="6"/>
        <v>8</v>
      </c>
      <c r="C193" s="105">
        <f t="shared" si="8"/>
        <v>42601</v>
      </c>
      <c r="D193" s="105" t="s">
        <v>999</v>
      </c>
      <c r="E193" s="105">
        <v>42601</v>
      </c>
      <c r="F193" s="109" t="s">
        <v>469</v>
      </c>
      <c r="G193" s="296" t="s">
        <v>472</v>
      </c>
      <c r="H193" s="4" t="s">
        <v>473</v>
      </c>
      <c r="I193" s="133"/>
      <c r="J193" s="133"/>
      <c r="K193" s="13">
        <v>277000000</v>
      </c>
      <c r="L193" s="113" t="s">
        <v>24</v>
      </c>
      <c r="M193" s="113" t="s">
        <v>46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>x</v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>x</v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563"/>
    </row>
    <row r="194" spans="1:26" ht="15.75" customHeight="1">
      <c r="A194" s="120" t="str">
        <f>IF(B194&lt;&gt;"",IF(AND(B194&gt;=_TM1,B194&lt;=_TM2,OR(TH!L194="1111",TH!M194="1111")),TH!D194,""),"")</f>
        <v/>
      </c>
      <c r="B194" s="12">
        <f t="shared" si="6"/>
        <v>8</v>
      </c>
      <c r="C194" s="105">
        <f t="shared" si="8"/>
        <v>42601</v>
      </c>
      <c r="D194" s="105" t="s">
        <v>468</v>
      </c>
      <c r="E194" s="105">
        <v>42601</v>
      </c>
      <c r="F194" s="109" t="s">
        <v>463</v>
      </c>
      <c r="G194" s="296" t="s">
        <v>472</v>
      </c>
      <c r="H194" s="4" t="s">
        <v>397</v>
      </c>
      <c r="I194" s="133"/>
      <c r="J194" s="133"/>
      <c r="K194" s="401">
        <v>180000000</v>
      </c>
      <c r="L194" s="113" t="s">
        <v>8</v>
      </c>
      <c r="M194" s="113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563"/>
    </row>
    <row r="195" spans="1:26" ht="15.75" customHeight="1">
      <c r="A195" s="120" t="str">
        <f>IF(B195&lt;&gt;"",IF(AND(B195&gt;=_TM1,B195&lt;=_TM2,OR(TH!L195="1111",TH!M195="1111")),TH!D195,""),"")</f>
        <v/>
      </c>
      <c r="B195" s="12">
        <f t="shared" si="6"/>
        <v>8</v>
      </c>
      <c r="C195" s="105">
        <f t="shared" si="8"/>
        <v>42601</v>
      </c>
      <c r="D195" s="105" t="s">
        <v>468</v>
      </c>
      <c r="E195" s="105">
        <v>42601</v>
      </c>
      <c r="F195" s="109" t="s">
        <v>478</v>
      </c>
      <c r="G195" s="296" t="s">
        <v>472</v>
      </c>
      <c r="H195" s="4"/>
      <c r="I195" s="133"/>
      <c r="J195" s="133"/>
      <c r="K195" s="401">
        <v>10000</v>
      </c>
      <c r="L195" s="113" t="s">
        <v>82</v>
      </c>
      <c r="M195" s="113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>x</v>
      </c>
      <c r="Y195" s="22" t="str">
        <f>IF(AND(B195&lt;=NKC!$N$8,B195&gt;=NKC!$M$8),"x","")</f>
        <v>x</v>
      </c>
      <c r="Z195" s="563">
        <v>3</v>
      </c>
    </row>
    <row r="196" spans="1:26" ht="15.75" customHeight="1">
      <c r="A196" s="120" t="str">
        <f>IF(B196&lt;&gt;"",IF(AND(B196&gt;=_TM1,B196&lt;=_TM2,OR(TH!L196="1111",TH!M196="1111")),TH!D196,""),"")</f>
        <v/>
      </c>
      <c r="B196" s="12">
        <f t="shared" si="6"/>
        <v>8</v>
      </c>
      <c r="C196" s="105">
        <f t="shared" si="8"/>
        <v>42601</v>
      </c>
      <c r="D196" s="105" t="s">
        <v>468</v>
      </c>
      <c r="E196" s="105">
        <v>42601</v>
      </c>
      <c r="F196" s="109" t="s">
        <v>479</v>
      </c>
      <c r="G196" s="296" t="s">
        <v>472</v>
      </c>
      <c r="H196" s="4"/>
      <c r="I196" s="133"/>
      <c r="J196" s="133"/>
      <c r="K196" s="401">
        <v>1000</v>
      </c>
      <c r="L196" s="113" t="s">
        <v>9</v>
      </c>
      <c r="M196" s="113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563">
        <v>3</v>
      </c>
    </row>
    <row r="197" spans="1:26" ht="15.75" customHeight="1">
      <c r="A197" s="120" t="str">
        <f>IF(B197&lt;&gt;"",IF(AND(B197&gt;=_TM1,B197&lt;=_TM2,OR(TH!L197="1111",TH!M197="1111")),TH!D197,""),"")</f>
        <v/>
      </c>
      <c r="B197" s="12">
        <f t="shared" si="6"/>
        <v>8</v>
      </c>
      <c r="C197" s="105">
        <f t="shared" si="8"/>
        <v>42601</v>
      </c>
      <c r="D197" s="105" t="s">
        <v>468</v>
      </c>
      <c r="E197" s="105">
        <v>42601</v>
      </c>
      <c r="F197" s="109" t="s">
        <v>463</v>
      </c>
      <c r="G197" s="296" t="s">
        <v>472</v>
      </c>
      <c r="H197" s="4" t="s">
        <v>396</v>
      </c>
      <c r="I197" s="133"/>
      <c r="J197" s="133"/>
      <c r="K197" s="401">
        <v>56000000</v>
      </c>
      <c r="L197" s="113" t="s">
        <v>8</v>
      </c>
      <c r="M197" s="113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563"/>
    </row>
    <row r="198" spans="1:26" ht="15.75" customHeight="1">
      <c r="A198" s="120" t="str">
        <f>IF(B198&lt;&gt;"",IF(AND(B198&gt;=_TM1,B198&lt;=_TM2,OR(TH!L198="1111",TH!M198="1111")),TH!D198,""),"")</f>
        <v/>
      </c>
      <c r="B198" s="12">
        <f t="shared" si="6"/>
        <v>8</v>
      </c>
      <c r="C198" s="105">
        <f t="shared" si="8"/>
        <v>42601</v>
      </c>
      <c r="D198" s="105" t="s">
        <v>468</v>
      </c>
      <c r="E198" s="105">
        <v>42601</v>
      </c>
      <c r="F198" s="109" t="s">
        <v>478</v>
      </c>
      <c r="G198" s="296" t="s">
        <v>472</v>
      </c>
      <c r="H198" s="4"/>
      <c r="I198" s="133"/>
      <c r="J198" s="133"/>
      <c r="K198" s="401">
        <v>20000</v>
      </c>
      <c r="L198" s="113" t="s">
        <v>82</v>
      </c>
      <c r="M198" s="113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>x</v>
      </c>
      <c r="Y198" s="22" t="str">
        <f>IF(AND(B198&lt;=NKC!$N$8,B198&gt;=NKC!$M$8),"x","")</f>
        <v>x</v>
      </c>
      <c r="Z198" s="563">
        <v>3</v>
      </c>
    </row>
    <row r="199" spans="1:26" ht="15.75" customHeight="1">
      <c r="A199" s="120" t="str">
        <f>IF(B199&lt;&gt;"",IF(AND(B199&gt;=_TM1,B199&lt;=_TM2,OR(TH!L199="1111",TH!M199="1111")),TH!D199,""),"")</f>
        <v/>
      </c>
      <c r="B199" s="12">
        <f t="shared" si="6"/>
        <v>8</v>
      </c>
      <c r="C199" s="105">
        <f t="shared" si="8"/>
        <v>42601</v>
      </c>
      <c r="D199" s="105" t="s">
        <v>468</v>
      </c>
      <c r="E199" s="105">
        <v>42601</v>
      </c>
      <c r="F199" s="109" t="s">
        <v>479</v>
      </c>
      <c r="G199" s="296" t="s">
        <v>472</v>
      </c>
      <c r="H199" s="4"/>
      <c r="I199" s="133"/>
      <c r="J199" s="133"/>
      <c r="K199" s="401">
        <v>2000</v>
      </c>
      <c r="L199" s="113" t="s">
        <v>9</v>
      </c>
      <c r="M199" s="113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563">
        <v>3</v>
      </c>
    </row>
    <row r="200" spans="1:26" ht="15.75" customHeight="1">
      <c r="A200" s="120" t="str">
        <f>IF(B200&lt;&gt;"",IF(AND(B200&gt;=_TM1,B200&lt;=_TM2,OR(TH!L200="1111",TH!M200="1111")),TH!D200,""),"")</f>
        <v/>
      </c>
      <c r="B200" s="12">
        <f t="shared" si="6"/>
        <v>8</v>
      </c>
      <c r="C200" s="105">
        <f t="shared" si="8"/>
        <v>42601</v>
      </c>
      <c r="D200" s="105" t="s">
        <v>468</v>
      </c>
      <c r="E200" s="105">
        <v>42601</v>
      </c>
      <c r="F200" s="109" t="s">
        <v>477</v>
      </c>
      <c r="G200" s="296" t="s">
        <v>472</v>
      </c>
      <c r="H200" s="112" t="s">
        <v>622</v>
      </c>
      <c r="I200" s="133"/>
      <c r="J200" s="133"/>
      <c r="K200" s="13">
        <v>40700000</v>
      </c>
      <c r="L200" s="113" t="s">
        <v>8</v>
      </c>
      <c r="M200" s="113" t="s">
        <v>24</v>
      </c>
      <c r="N200" s="22" t="str">
        <f>IF(AND('331-CT'!$E$7=TH!H200,OR(L200="331",M200="331")),"331",IF(AND(OR(L200="131",M200="131"),H200='131-CT'!$E$7),"131",""))</f>
        <v>331</v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563"/>
    </row>
    <row r="201" spans="1:26" ht="15.75" customHeight="1">
      <c r="A201" s="120" t="str">
        <f>IF(B201&lt;&gt;"",IF(AND(B201&gt;=_TM1,B201&lt;=_TM2,OR(TH!L201="1111",TH!M201="1111")),TH!D201,""),"")</f>
        <v/>
      </c>
      <c r="B201" s="12">
        <f t="shared" si="6"/>
        <v>8</v>
      </c>
      <c r="C201" s="105">
        <f t="shared" si="8"/>
        <v>42601</v>
      </c>
      <c r="D201" s="105" t="s">
        <v>468</v>
      </c>
      <c r="E201" s="105">
        <v>42601</v>
      </c>
      <c r="F201" s="109" t="s">
        <v>478</v>
      </c>
      <c r="G201" s="296" t="s">
        <v>472</v>
      </c>
      <c r="H201" s="4"/>
      <c r="I201" s="133"/>
      <c r="J201" s="133"/>
      <c r="K201" s="401">
        <v>20000</v>
      </c>
      <c r="L201" s="113" t="s">
        <v>82</v>
      </c>
      <c r="M201" s="113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>x</v>
      </c>
      <c r="Y201" s="22" t="str">
        <f>IF(AND(B201&lt;=NKC!$N$8,B201&gt;=NKC!$M$8),"x","")</f>
        <v>x</v>
      </c>
      <c r="Z201" s="563">
        <v>3</v>
      </c>
    </row>
    <row r="202" spans="1:26" ht="15.75" customHeight="1">
      <c r="A202" s="120" t="str">
        <f>IF(B202&lt;&gt;"",IF(AND(B202&gt;=_TM1,B202&lt;=_TM2,OR(TH!L202="1111",TH!M202="1111")),TH!D202,""),"")</f>
        <v/>
      </c>
      <c r="B202" s="12">
        <f t="shared" si="6"/>
        <v>8</v>
      </c>
      <c r="C202" s="105">
        <f t="shared" si="8"/>
        <v>42601</v>
      </c>
      <c r="D202" s="105" t="s">
        <v>468</v>
      </c>
      <c r="E202" s="105">
        <v>42601</v>
      </c>
      <c r="F202" s="109" t="s">
        <v>479</v>
      </c>
      <c r="G202" s="296" t="s">
        <v>472</v>
      </c>
      <c r="H202" s="4"/>
      <c r="I202" s="133"/>
      <c r="J202" s="133"/>
      <c r="K202" s="401">
        <v>2000</v>
      </c>
      <c r="L202" s="113" t="s">
        <v>9</v>
      </c>
      <c r="M202" s="113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563">
        <v>3</v>
      </c>
    </row>
    <row r="203" spans="1:26" ht="15.75" customHeight="1">
      <c r="A203" s="120" t="str">
        <f>IF(B203&lt;&gt;"",IF(AND(B203&gt;=_TM1,B203&lt;=_TM2,OR(TH!L203="1111",TH!M203="1111")),TH!D203,""),"")</f>
        <v/>
      </c>
      <c r="B203" s="12">
        <f t="shared" si="6"/>
        <v>8</v>
      </c>
      <c r="C203" s="105">
        <f t="shared" si="8"/>
        <v>42601</v>
      </c>
      <c r="D203" s="105" t="s">
        <v>468</v>
      </c>
      <c r="E203" s="105">
        <v>42601</v>
      </c>
      <c r="F203" s="109" t="s">
        <v>484</v>
      </c>
      <c r="G203" s="296" t="s">
        <v>472</v>
      </c>
      <c r="H203" s="4"/>
      <c r="I203" s="133"/>
      <c r="J203" s="133"/>
      <c r="K203" s="401">
        <v>83010</v>
      </c>
      <c r="L203" s="113" t="s">
        <v>82</v>
      </c>
      <c r="M203" s="113" t="s">
        <v>24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>x</v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>x</v>
      </c>
      <c r="Y203" s="22" t="str">
        <f>IF(AND(B203&lt;=NKC!$N$8,B203&gt;=NKC!$M$8),"x","")</f>
        <v>x</v>
      </c>
      <c r="Z203" s="563">
        <v>3</v>
      </c>
    </row>
    <row r="204" spans="1:26" ht="15.75" customHeight="1">
      <c r="A204" s="120" t="str">
        <f>IF(B204&lt;&gt;"",IF(AND(B204&gt;=_TM1,B204&lt;=_TM2,OR(TH!L204="1111",TH!M204="1111")),TH!D204,""),"")</f>
        <v/>
      </c>
      <c r="B204" s="12">
        <f t="shared" si="6"/>
        <v>8</v>
      </c>
      <c r="C204" s="105">
        <f t="shared" si="8"/>
        <v>42601</v>
      </c>
      <c r="D204" s="105" t="s">
        <v>468</v>
      </c>
      <c r="E204" s="105">
        <v>42601</v>
      </c>
      <c r="F204" s="109" t="s">
        <v>485</v>
      </c>
      <c r="G204" s="296" t="s">
        <v>472</v>
      </c>
      <c r="H204" s="4"/>
      <c r="I204" s="133"/>
      <c r="J204" s="133"/>
      <c r="K204" s="401">
        <v>8301</v>
      </c>
      <c r="L204" s="113" t="s">
        <v>9</v>
      </c>
      <c r="M204" s="113" t="s">
        <v>24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>x</v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563">
        <v>3</v>
      </c>
    </row>
    <row r="205" spans="1:26" ht="15.75" customHeight="1">
      <c r="A205" s="120" t="str">
        <f>IF(B205&lt;&gt;"",IF(AND(B205&gt;=_TM1,B205&lt;=_TM2,OR(TH!L205="1111",TH!M205="1111")),TH!D205,""),"")</f>
        <v/>
      </c>
      <c r="B205" s="12">
        <f t="shared" si="6"/>
        <v>8</v>
      </c>
      <c r="C205" s="105">
        <f t="shared" si="8"/>
        <v>42601</v>
      </c>
      <c r="D205" s="105" t="s">
        <v>580</v>
      </c>
      <c r="E205" s="110">
        <v>42601</v>
      </c>
      <c r="F205" s="109" t="s">
        <v>530</v>
      </c>
      <c r="G205" s="296" t="s">
        <v>727</v>
      </c>
      <c r="H205" s="4" t="s">
        <v>549</v>
      </c>
      <c r="I205" s="133">
        <v>166</v>
      </c>
      <c r="J205" s="133">
        <v>10200</v>
      </c>
      <c r="K205" s="13">
        <f>ROUND(I205*J205,0)</f>
        <v>1693200</v>
      </c>
      <c r="L205" s="113" t="s">
        <v>251</v>
      </c>
      <c r="M205" s="402" t="s">
        <v>168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563"/>
    </row>
    <row r="206" spans="1:26" ht="15.75" customHeight="1">
      <c r="A206" s="120" t="str">
        <f>IF(B206&lt;&gt;"",IF(AND(B206&gt;=_TM1,B206&lt;=_TM2,OR(TH!L206="1111",TH!M206="1111")),TH!D206,""),"")</f>
        <v/>
      </c>
      <c r="B206" s="12">
        <f t="shared" si="6"/>
        <v>8</v>
      </c>
      <c r="C206" s="105">
        <f t="shared" si="8"/>
        <v>42601</v>
      </c>
      <c r="D206" s="105" t="s">
        <v>580</v>
      </c>
      <c r="E206" s="110">
        <v>42601</v>
      </c>
      <c r="F206" s="109" t="s">
        <v>531</v>
      </c>
      <c r="G206" s="296" t="s">
        <v>727</v>
      </c>
      <c r="H206" s="4" t="s">
        <v>549</v>
      </c>
      <c r="I206" s="133"/>
      <c r="J206" s="133"/>
      <c r="K206" s="13">
        <v>169320</v>
      </c>
      <c r="L206" s="113" t="s">
        <v>251</v>
      </c>
      <c r="M206" s="402" t="s">
        <v>350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563"/>
    </row>
    <row r="207" spans="1:26" ht="15.75" customHeight="1">
      <c r="A207" s="120" t="str">
        <f>IF(B207&lt;&gt;"",IF(AND(B207&gt;=_TM1,B207&lt;=_TM2,OR(TH!L207="1111",TH!M207="1111")),TH!D207,""),"")</f>
        <v/>
      </c>
      <c r="B207" s="12">
        <f t="shared" si="6"/>
        <v>8</v>
      </c>
      <c r="C207" s="105">
        <f t="shared" si="8"/>
        <v>42601</v>
      </c>
      <c r="D207" s="105" t="s">
        <v>997</v>
      </c>
      <c r="E207" s="110">
        <v>42601</v>
      </c>
      <c r="F207" s="111" t="s">
        <v>482</v>
      </c>
      <c r="G207" s="296" t="s">
        <v>727</v>
      </c>
      <c r="H207" s="4" t="s">
        <v>549</v>
      </c>
      <c r="I207" s="133"/>
      <c r="J207" s="133"/>
      <c r="K207" s="13">
        <v>1862520</v>
      </c>
      <c r="L207" s="113" t="s">
        <v>46</v>
      </c>
      <c r="M207" s="402" t="s">
        <v>251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>x</v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563"/>
    </row>
    <row r="208" spans="1:26" ht="15.75" customHeight="1">
      <c r="A208" s="120" t="str">
        <f>IF(B208&lt;&gt;"",IF(AND(B208&gt;=_TM1,B208&lt;=_TM2,OR(TH!L208="1111",TH!M208="1111")),TH!D208,""),"")</f>
        <v/>
      </c>
      <c r="B208" s="12">
        <f t="shared" si="6"/>
        <v>8</v>
      </c>
      <c r="C208" s="105">
        <f t="shared" si="8"/>
        <v>42602</v>
      </c>
      <c r="D208" s="105" t="s">
        <v>581</v>
      </c>
      <c r="E208" s="110">
        <v>42602</v>
      </c>
      <c r="F208" s="109" t="s">
        <v>508</v>
      </c>
      <c r="G208" s="296" t="s">
        <v>728</v>
      </c>
      <c r="H208" s="4" t="s">
        <v>688</v>
      </c>
      <c r="I208" s="133">
        <f>620+320</f>
        <v>940</v>
      </c>
      <c r="J208" s="133">
        <v>5900</v>
      </c>
      <c r="K208" s="13">
        <f>ROUND(I208*J208,0)</f>
        <v>5546000</v>
      </c>
      <c r="L208" s="113" t="s">
        <v>251</v>
      </c>
      <c r="M208" s="402" t="s">
        <v>168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563"/>
    </row>
    <row r="209" spans="1:26" ht="15.75" customHeight="1">
      <c r="A209" s="120" t="str">
        <f>IF(B209&lt;&gt;"",IF(AND(B209&gt;=_TM1,B209&lt;=_TM2,OR(TH!L209="1111",TH!M209="1111")),TH!D209,""),"")</f>
        <v/>
      </c>
      <c r="B209" s="12">
        <f t="shared" ref="B209:B272" si="9">IF(C209&lt;&gt;"",MONTH(C209),"")</f>
        <v>8</v>
      </c>
      <c r="C209" s="105">
        <f t="shared" si="8"/>
        <v>42602</v>
      </c>
      <c r="D209" s="105" t="s">
        <v>581</v>
      </c>
      <c r="E209" s="110">
        <v>42602</v>
      </c>
      <c r="F209" s="109" t="s">
        <v>494</v>
      </c>
      <c r="G209" s="296" t="s">
        <v>728</v>
      </c>
      <c r="H209" s="4" t="s">
        <v>688</v>
      </c>
      <c r="I209" s="133"/>
      <c r="J209" s="133"/>
      <c r="K209" s="13">
        <v>554600</v>
      </c>
      <c r="L209" s="113" t="s">
        <v>251</v>
      </c>
      <c r="M209" s="402" t="s">
        <v>350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563"/>
    </row>
    <row r="210" spans="1:26" ht="15.75" customHeight="1">
      <c r="A210" s="120" t="str">
        <f>IF(B210&lt;&gt;"",IF(AND(B210&gt;=_TM1,B210&lt;=_TM2,OR(TH!L210="1111",TH!M210="1111")),TH!D210,""),"")</f>
        <v/>
      </c>
      <c r="B210" s="12">
        <f t="shared" si="9"/>
        <v>8</v>
      </c>
      <c r="C210" s="105">
        <f t="shared" si="8"/>
        <v>42602</v>
      </c>
      <c r="D210" s="105" t="s">
        <v>998</v>
      </c>
      <c r="E210" s="110">
        <v>42602</v>
      </c>
      <c r="F210" s="111" t="s">
        <v>482</v>
      </c>
      <c r="G210" s="296" t="s">
        <v>1029</v>
      </c>
      <c r="H210" s="4" t="s">
        <v>688</v>
      </c>
      <c r="I210" s="133"/>
      <c r="J210" s="133"/>
      <c r="K210" s="13">
        <v>19463510</v>
      </c>
      <c r="L210" s="113" t="s">
        <v>46</v>
      </c>
      <c r="M210" s="402" t="s">
        <v>251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>x</v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563"/>
    </row>
    <row r="211" spans="1:26" ht="15.75" customHeight="1">
      <c r="A211" s="120" t="str">
        <f>IF(B211&lt;&gt;"",IF(AND(B211&gt;=_TM1,B211&lt;=_TM2,OR(TH!L211="1111",TH!M211="1111")),TH!D211,""),"")</f>
        <v/>
      </c>
      <c r="B211" s="12">
        <f t="shared" si="9"/>
        <v>8</v>
      </c>
      <c r="C211" s="105">
        <f t="shared" si="8"/>
        <v>42604</v>
      </c>
      <c r="D211" s="105" t="s">
        <v>1000</v>
      </c>
      <c r="E211" s="105">
        <v>42604</v>
      </c>
      <c r="F211" s="109" t="s">
        <v>437</v>
      </c>
      <c r="G211" s="296" t="s">
        <v>439</v>
      </c>
      <c r="H211" s="112" t="s">
        <v>435</v>
      </c>
      <c r="I211" s="133"/>
      <c r="J211" s="133"/>
      <c r="K211" s="401">
        <v>1840000</v>
      </c>
      <c r="L211" s="402" t="s">
        <v>82</v>
      </c>
      <c r="M211" s="402" t="s">
        <v>46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>x</v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>x</v>
      </c>
      <c r="Y211" s="22" t="str">
        <f>IF(AND(B211&lt;=NKC!$N$8,B211&gt;=NKC!$M$8),"x","")</f>
        <v>x</v>
      </c>
      <c r="Z211" s="563">
        <v>3</v>
      </c>
    </row>
    <row r="212" spans="1:26" ht="15.75" customHeight="1">
      <c r="A212" s="120" t="str">
        <f>IF(B212&lt;&gt;"",IF(AND(B212&gt;=_TM1,B212&lt;=_TM2,OR(TH!L212="1111",TH!M212="1111")),TH!D212,""),"")</f>
        <v/>
      </c>
      <c r="B212" s="12">
        <f t="shared" si="9"/>
        <v>8</v>
      </c>
      <c r="C212" s="105">
        <f t="shared" si="8"/>
        <v>42604</v>
      </c>
      <c r="D212" s="105" t="s">
        <v>1000</v>
      </c>
      <c r="E212" s="105">
        <v>42604</v>
      </c>
      <c r="F212" s="109" t="s">
        <v>438</v>
      </c>
      <c r="G212" s="296" t="s">
        <v>439</v>
      </c>
      <c r="H212" s="112" t="s">
        <v>435</v>
      </c>
      <c r="I212" s="133"/>
      <c r="J212" s="133"/>
      <c r="K212" s="401">
        <v>184000</v>
      </c>
      <c r="L212" s="402" t="s">
        <v>9</v>
      </c>
      <c r="M212" s="402" t="s">
        <v>46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>x</v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563">
        <v>3</v>
      </c>
    </row>
    <row r="213" spans="1:26" ht="15.75" customHeight="1">
      <c r="A213" s="120" t="str">
        <f>IF(B213&lt;&gt;"",IF(AND(B213&gt;=_TM1,B213&lt;=_TM2,OR(TH!L213="1111",TH!M213="1111")),TH!D213,""),"")</f>
        <v/>
      </c>
      <c r="B213" s="12">
        <f t="shared" si="9"/>
        <v>8</v>
      </c>
      <c r="C213" s="105">
        <f t="shared" si="8"/>
        <v>42605</v>
      </c>
      <c r="D213" s="105" t="s">
        <v>582</v>
      </c>
      <c r="E213" s="110">
        <v>42605</v>
      </c>
      <c r="F213" s="109" t="s">
        <v>683</v>
      </c>
      <c r="G213" s="296" t="s">
        <v>729</v>
      </c>
      <c r="H213" s="4" t="s">
        <v>367</v>
      </c>
      <c r="I213" s="133">
        <v>58</v>
      </c>
      <c r="J213" s="133">
        <v>16070</v>
      </c>
      <c r="K213" s="13">
        <f>ROUND(I213*J213,0)</f>
        <v>932060</v>
      </c>
      <c r="L213" s="113" t="s">
        <v>251</v>
      </c>
      <c r="M213" s="402" t="s">
        <v>168</v>
      </c>
      <c r="N213" s="22" t="str">
        <f>IF(AND('331-CT'!$E$7=TH!H213,OR(L213="331",M213="331")),"331",IF(AND(OR(L213="131",M213="131"),H213='131-CT'!$E$7),"131",""))</f>
        <v>131</v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563"/>
    </row>
    <row r="214" spans="1:26" ht="15.75" customHeight="1">
      <c r="A214" s="120" t="str">
        <f>IF(B214&lt;&gt;"",IF(AND(B214&gt;=_TM1,B214&lt;=_TM2,OR(TH!L214="1111",TH!M214="1111")),TH!D214,""),"")</f>
        <v/>
      </c>
      <c r="B214" s="12">
        <f t="shared" si="9"/>
        <v>8</v>
      </c>
      <c r="C214" s="105">
        <f t="shared" si="8"/>
        <v>42605</v>
      </c>
      <c r="D214" s="105" t="s">
        <v>582</v>
      </c>
      <c r="E214" s="110">
        <v>42605</v>
      </c>
      <c r="F214" s="109" t="s">
        <v>496</v>
      </c>
      <c r="G214" s="296" t="s">
        <v>729</v>
      </c>
      <c r="H214" s="4" t="s">
        <v>367</v>
      </c>
      <c r="I214" s="133">
        <v>56</v>
      </c>
      <c r="J214" s="133">
        <v>73100</v>
      </c>
      <c r="K214" s="13">
        <f>ROUND(I214*J214,0)</f>
        <v>4093600</v>
      </c>
      <c r="L214" s="113" t="s">
        <v>251</v>
      </c>
      <c r="M214" s="402" t="s">
        <v>168</v>
      </c>
      <c r="N214" s="22" t="str">
        <f>IF(AND('331-CT'!$E$7=TH!H214,OR(L214="331",M214="331")),"331",IF(AND(OR(L214="131",M214="131"),H214='131-CT'!$E$7),"131",""))</f>
        <v>131</v>
      </c>
      <c r="O214" s="22" t="str">
        <f>IF(AND($B214&gt;='111'!$N$11,$B214&lt;='111'!$O$11,OR($L214=$O$7,$M214=$O$7)),"x","")</f>
        <v/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563"/>
    </row>
    <row r="215" spans="1:26" ht="15.75" customHeight="1">
      <c r="A215" s="120" t="str">
        <f>IF(B215&lt;&gt;"",IF(AND(B215&gt;=_TM1,B215&lt;=_TM2,OR(TH!L215="1111",TH!M215="1111")),TH!D215,""),"")</f>
        <v/>
      </c>
      <c r="B215" s="12">
        <f t="shared" si="9"/>
        <v>8</v>
      </c>
      <c r="C215" s="105">
        <f t="shared" si="8"/>
        <v>42605</v>
      </c>
      <c r="D215" s="105" t="s">
        <v>582</v>
      </c>
      <c r="E215" s="110">
        <v>42605</v>
      </c>
      <c r="F215" s="109" t="s">
        <v>494</v>
      </c>
      <c r="G215" s="296" t="s">
        <v>729</v>
      </c>
      <c r="H215" s="4" t="s">
        <v>367</v>
      </c>
      <c r="I215" s="133"/>
      <c r="J215" s="133"/>
      <c r="K215" s="13">
        <v>502566</v>
      </c>
      <c r="L215" s="113" t="s">
        <v>251</v>
      </c>
      <c r="M215" s="402" t="s">
        <v>350</v>
      </c>
      <c r="N215" s="22" t="str">
        <f>IF(AND('331-CT'!$E$7=TH!H215,OR(L215="331",M215="331")),"331",IF(AND(OR(L215="131",M215="131"),H215='131-CT'!$E$7),"131",""))</f>
        <v>131</v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563"/>
    </row>
    <row r="216" spans="1:26" ht="15.75" customHeight="1">
      <c r="A216" s="120" t="str">
        <f>IF(B216&lt;&gt;"",IF(AND(B216&gt;=_TM1,B216&lt;=_TM2,OR(TH!L216="1111",TH!M216="1111")),TH!D216,""),"")</f>
        <v/>
      </c>
      <c r="B216" s="12">
        <f t="shared" si="9"/>
        <v>8</v>
      </c>
      <c r="C216" s="105">
        <f t="shared" si="8"/>
        <v>42605</v>
      </c>
      <c r="D216" s="105" t="s">
        <v>1003</v>
      </c>
      <c r="E216" s="110">
        <v>42605</v>
      </c>
      <c r="F216" s="111" t="s">
        <v>482</v>
      </c>
      <c r="G216" s="296" t="s">
        <v>729</v>
      </c>
      <c r="H216" s="4" t="s">
        <v>367</v>
      </c>
      <c r="I216" s="133"/>
      <c r="J216" s="133"/>
      <c r="K216" s="13">
        <v>5528226</v>
      </c>
      <c r="L216" s="113" t="s">
        <v>46</v>
      </c>
      <c r="M216" s="402" t="s">
        <v>251</v>
      </c>
      <c r="N216" s="22" t="str">
        <f>IF(AND('331-CT'!$E$7=TH!H216,OR(L216="331",M216="331")),"331",IF(AND(OR(L216="131",M216="131"),H216='131-CT'!$E$7),"131",""))</f>
        <v>131</v>
      </c>
      <c r="O216" s="22" t="str">
        <f>IF(AND($B216&gt;='111'!$N$11,$B216&lt;='111'!$O$11,OR($L216=$O$7,$M216=$O$7)),"x","")</f>
        <v/>
      </c>
      <c r="P216" s="22" t="str">
        <f>IF(AND($L216=$O$7,$B216&lt;'111'!$N$11),"x","")</f>
        <v>x</v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563"/>
    </row>
    <row r="217" spans="1:26" ht="15.75" customHeight="1">
      <c r="A217" s="120" t="str">
        <f>IF(B217&lt;&gt;"",IF(AND(B217&gt;=_TM1,B217&lt;=_TM2,OR(TH!L217="1111",TH!M217="1111")),TH!D217,""),"")</f>
        <v/>
      </c>
      <c r="B217" s="12">
        <f t="shared" si="9"/>
        <v>8</v>
      </c>
      <c r="C217" s="105">
        <f t="shared" si="8"/>
        <v>42606</v>
      </c>
      <c r="D217" s="105" t="s">
        <v>467</v>
      </c>
      <c r="E217" s="110">
        <v>42606</v>
      </c>
      <c r="F217" s="109" t="s">
        <v>482</v>
      </c>
      <c r="G217" s="296" t="s">
        <v>472</v>
      </c>
      <c r="H217" s="4" t="s">
        <v>370</v>
      </c>
      <c r="I217" s="133"/>
      <c r="J217" s="133"/>
      <c r="K217" s="401">
        <v>9389600</v>
      </c>
      <c r="L217" s="402" t="s">
        <v>24</v>
      </c>
      <c r="M217" s="402" t="s">
        <v>251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563"/>
    </row>
    <row r="218" spans="1:26" ht="15.75" customHeight="1">
      <c r="A218" s="120" t="str">
        <f>IF(B218&lt;&gt;"",IF(AND(B218&gt;=_TM1,B218&lt;=_TM2,OR(TH!L218="1111",TH!M218="1111")),TH!D218,""),"")</f>
        <v/>
      </c>
      <c r="B218" s="12">
        <f t="shared" si="9"/>
        <v>8</v>
      </c>
      <c r="C218" s="105">
        <f t="shared" si="8"/>
        <v>42607</v>
      </c>
      <c r="D218" s="105" t="s">
        <v>467</v>
      </c>
      <c r="E218" s="110">
        <v>42607</v>
      </c>
      <c r="F218" s="109" t="s">
        <v>474</v>
      </c>
      <c r="G218" s="296" t="s">
        <v>472</v>
      </c>
      <c r="H218" s="4"/>
      <c r="I218" s="133"/>
      <c r="J218" s="133"/>
      <c r="K218" s="401">
        <v>3371</v>
      </c>
      <c r="L218" s="113" t="s">
        <v>24</v>
      </c>
      <c r="M218" s="113" t="s">
        <v>39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>x</v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563"/>
    </row>
    <row r="219" spans="1:26" ht="15.75" customHeight="1">
      <c r="A219" s="120" t="str">
        <f>IF(B219&lt;&gt;"",IF(AND(B219&gt;=_TM1,B219&lt;=_TM2,OR(TH!L219="1111",TH!M219="1111")),TH!D219,""),"")</f>
        <v/>
      </c>
      <c r="B219" s="12">
        <f t="shared" si="9"/>
        <v>8</v>
      </c>
      <c r="C219" s="105">
        <f t="shared" si="8"/>
        <v>42607</v>
      </c>
      <c r="D219" s="105" t="s">
        <v>467</v>
      </c>
      <c r="E219" s="110">
        <v>42607</v>
      </c>
      <c r="F219" s="109" t="s">
        <v>482</v>
      </c>
      <c r="G219" s="296" t="s">
        <v>472</v>
      </c>
      <c r="H219" s="4" t="s">
        <v>372</v>
      </c>
      <c r="I219" s="133"/>
      <c r="J219" s="133"/>
      <c r="K219" s="401">
        <v>12569920</v>
      </c>
      <c r="L219" s="402" t="s">
        <v>24</v>
      </c>
      <c r="M219" s="402" t="s">
        <v>251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>x</v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563"/>
    </row>
    <row r="220" spans="1:26" ht="15.75" customHeight="1">
      <c r="A220" s="120" t="str">
        <f>IF(B220&lt;&gt;"",IF(AND(B220&gt;=_TM1,B220&lt;=_TM2,OR(TH!L220="1111",TH!M220="1111")),TH!D220,""),"")</f>
        <v/>
      </c>
      <c r="B220" s="12">
        <f t="shared" si="9"/>
        <v>8</v>
      </c>
      <c r="C220" s="105">
        <f t="shared" si="8"/>
        <v>42607</v>
      </c>
      <c r="D220" s="105" t="s">
        <v>1004</v>
      </c>
      <c r="E220" s="110">
        <v>42607</v>
      </c>
      <c r="F220" s="109" t="s">
        <v>483</v>
      </c>
      <c r="G220" s="296" t="s">
        <v>472</v>
      </c>
      <c r="H220" s="4" t="s">
        <v>486</v>
      </c>
      <c r="I220" s="133"/>
      <c r="J220" s="133"/>
      <c r="K220" s="401">
        <v>9500000</v>
      </c>
      <c r="L220" s="402" t="s">
        <v>46</v>
      </c>
      <c r="M220" s="402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/>
      </c>
      <c r="P220" s="22" t="str">
        <f>IF(AND($L220=$O$7,$B220&lt;'111'!$N$11),"x","")</f>
        <v>x</v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563"/>
    </row>
    <row r="221" spans="1:26" ht="15.75" customHeight="1">
      <c r="A221" s="120" t="str">
        <f>IF(B221&lt;&gt;"",IF(AND(B221&gt;=_TM1,B221&lt;=_TM2,OR(TH!L221="1111",TH!M221="1111")),TH!D221,""),"")</f>
        <v/>
      </c>
      <c r="B221" s="12">
        <f t="shared" si="9"/>
        <v>8</v>
      </c>
      <c r="C221" s="105">
        <f t="shared" si="8"/>
        <v>42607</v>
      </c>
      <c r="D221" s="105" t="s">
        <v>468</v>
      </c>
      <c r="E221" s="110">
        <v>42607</v>
      </c>
      <c r="F221" s="109" t="s">
        <v>487</v>
      </c>
      <c r="G221" s="296" t="s">
        <v>472</v>
      </c>
      <c r="H221" s="4"/>
      <c r="I221" s="133"/>
      <c r="J221" s="133"/>
      <c r="K221" s="13">
        <v>20000</v>
      </c>
      <c r="L221" s="113" t="s">
        <v>82</v>
      </c>
      <c r="M221" s="113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>x</v>
      </c>
      <c r="Y221" s="22" t="str">
        <f>IF(AND(B221&lt;=NKC!$N$8,B221&gt;=NKC!$M$8),"x","")</f>
        <v>x</v>
      </c>
      <c r="Z221" s="563">
        <v>3</v>
      </c>
    </row>
    <row r="222" spans="1:26" ht="15.75" customHeight="1">
      <c r="A222" s="120" t="str">
        <f>IF(B222&lt;&gt;"",IF(AND(B222&gt;=_TM1,B222&lt;=_TM2,OR(TH!L222="1111",TH!M222="1111")),TH!D222,""),"")</f>
        <v/>
      </c>
      <c r="B222" s="12">
        <f t="shared" si="9"/>
        <v>8</v>
      </c>
      <c r="C222" s="105">
        <f t="shared" si="8"/>
        <v>42607</v>
      </c>
      <c r="D222" s="105" t="s">
        <v>468</v>
      </c>
      <c r="E222" s="110">
        <v>42607</v>
      </c>
      <c r="F222" s="109" t="s">
        <v>488</v>
      </c>
      <c r="G222" s="296" t="s">
        <v>472</v>
      </c>
      <c r="H222" s="4"/>
      <c r="I222" s="133"/>
      <c r="J222" s="133"/>
      <c r="K222" s="13">
        <v>2000</v>
      </c>
      <c r="L222" s="113" t="s">
        <v>9</v>
      </c>
      <c r="M222" s="113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563">
        <v>3</v>
      </c>
    </row>
    <row r="223" spans="1:26" ht="15.75" customHeight="1">
      <c r="A223" s="120" t="str">
        <f>IF(B223&lt;&gt;"",IF(AND(B223&gt;=_TM1,B223&lt;=_TM2,OR(TH!L223="1111",TH!M223="1111")),TH!D223,""),"")</f>
        <v/>
      </c>
      <c r="B223" s="12">
        <f t="shared" si="9"/>
        <v>8</v>
      </c>
      <c r="C223" s="105">
        <f t="shared" si="8"/>
        <v>42607</v>
      </c>
      <c r="D223" s="105" t="s">
        <v>468</v>
      </c>
      <c r="E223" s="110">
        <v>42607</v>
      </c>
      <c r="F223" s="109" t="s">
        <v>475</v>
      </c>
      <c r="G223" s="296" t="s">
        <v>472</v>
      </c>
      <c r="H223" s="4"/>
      <c r="I223" s="133"/>
      <c r="J223" s="133"/>
      <c r="K223" s="13">
        <v>10000</v>
      </c>
      <c r="L223" s="113" t="s">
        <v>82</v>
      </c>
      <c r="M223" s="113" t="s">
        <v>24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>x</v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>x</v>
      </c>
      <c r="Y223" s="22" t="str">
        <f>IF(AND(B223&lt;=NKC!$N$8,B223&gt;=NKC!$M$8),"x","")</f>
        <v>x</v>
      </c>
      <c r="Z223" s="563">
        <v>3</v>
      </c>
    </row>
    <row r="224" spans="1:26" ht="15.75" customHeight="1">
      <c r="A224" s="120" t="str">
        <f>IF(B224&lt;&gt;"",IF(AND(B224&gt;=_TM1,B224&lt;=_TM2,OR(TH!L224="1111",TH!M224="1111")),TH!D224,""),"")</f>
        <v/>
      </c>
      <c r="B224" s="12">
        <f t="shared" si="9"/>
        <v>8</v>
      </c>
      <c r="C224" s="105">
        <f t="shared" si="8"/>
        <v>42607</v>
      </c>
      <c r="D224" s="105" t="s">
        <v>468</v>
      </c>
      <c r="E224" s="110">
        <v>42607</v>
      </c>
      <c r="F224" s="109" t="s">
        <v>476</v>
      </c>
      <c r="G224" s="296" t="s">
        <v>472</v>
      </c>
      <c r="H224" s="4"/>
      <c r="I224" s="133"/>
      <c r="J224" s="133"/>
      <c r="K224" s="13">
        <v>1000</v>
      </c>
      <c r="L224" s="113" t="s">
        <v>9</v>
      </c>
      <c r="M224" s="113" t="s">
        <v>24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>x</v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563">
        <v>3</v>
      </c>
    </row>
    <row r="225" spans="1:26" ht="15.75" customHeight="1">
      <c r="A225" s="120" t="str">
        <f>IF(B225&lt;&gt;"",IF(AND(B225&gt;=_TM1,B225&lt;=_TM2,OR(TH!L225="1111",TH!M225="1111")),TH!D225,""),"")</f>
        <v/>
      </c>
      <c r="B225" s="12">
        <f t="shared" si="9"/>
        <v>8</v>
      </c>
      <c r="C225" s="105">
        <f t="shared" si="8"/>
        <v>42607</v>
      </c>
      <c r="D225" s="105" t="s">
        <v>583</v>
      </c>
      <c r="E225" s="110">
        <v>42607</v>
      </c>
      <c r="F225" s="109" t="s">
        <v>651</v>
      </c>
      <c r="G225" s="296" t="s">
        <v>730</v>
      </c>
      <c r="H225" s="4" t="s">
        <v>369</v>
      </c>
      <c r="I225" s="133">
        <f>160+110*8</f>
        <v>1040</v>
      </c>
      <c r="J225" s="133">
        <v>15100</v>
      </c>
      <c r="K225" s="13">
        <f>ROUND(I225*J225,0)</f>
        <v>15704000</v>
      </c>
      <c r="L225" s="113" t="s">
        <v>251</v>
      </c>
      <c r="M225" s="402" t="s">
        <v>168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563"/>
    </row>
    <row r="226" spans="1:26" ht="15.75" customHeight="1">
      <c r="A226" s="120" t="str">
        <f>IF(B226&lt;&gt;"",IF(AND(B226&gt;=_TM1,B226&lt;=_TM2,OR(TH!L226="1111",TH!M226="1111")),TH!D226,""),"")</f>
        <v/>
      </c>
      <c r="B226" s="12">
        <f t="shared" si="9"/>
        <v>8</v>
      </c>
      <c r="C226" s="105">
        <f t="shared" si="8"/>
        <v>42607</v>
      </c>
      <c r="D226" s="105" t="s">
        <v>583</v>
      </c>
      <c r="E226" s="110">
        <v>42607</v>
      </c>
      <c r="F226" s="109" t="s">
        <v>494</v>
      </c>
      <c r="G226" s="296" t="s">
        <v>730</v>
      </c>
      <c r="H226" s="4" t="s">
        <v>369</v>
      </c>
      <c r="I226" s="133"/>
      <c r="J226" s="133"/>
      <c r="K226" s="13">
        <v>1570400</v>
      </c>
      <c r="L226" s="113" t="s">
        <v>251</v>
      </c>
      <c r="M226" s="402" t="s">
        <v>350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563"/>
    </row>
    <row r="227" spans="1:26" ht="15.75" customHeight="1">
      <c r="A227" s="120" t="str">
        <f>IF(B227&lt;&gt;"",IF(AND(B227&gt;=_TM1,B227&lt;=_TM2,OR(TH!L227="1111",TH!M227="1111")),TH!D227,""),"")</f>
        <v/>
      </c>
      <c r="B227" s="12">
        <f t="shared" si="9"/>
        <v>8</v>
      </c>
      <c r="C227" s="105">
        <f t="shared" si="8"/>
        <v>42607</v>
      </c>
      <c r="D227" s="105" t="s">
        <v>584</v>
      </c>
      <c r="E227" s="110">
        <v>42607</v>
      </c>
      <c r="F227" s="109" t="s">
        <v>651</v>
      </c>
      <c r="G227" s="296" t="s">
        <v>731</v>
      </c>
      <c r="H227" s="4" t="s">
        <v>369</v>
      </c>
      <c r="I227" s="133">
        <v>110</v>
      </c>
      <c r="J227" s="133">
        <v>15100</v>
      </c>
      <c r="K227" s="13">
        <f>ROUND(I227*J227,0)</f>
        <v>1661000</v>
      </c>
      <c r="L227" s="113" t="s">
        <v>251</v>
      </c>
      <c r="M227" s="402" t="s">
        <v>168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563"/>
    </row>
    <row r="228" spans="1:26" ht="15.75" customHeight="1">
      <c r="A228" s="120" t="str">
        <f>IF(B228&lt;&gt;"",IF(AND(B228&gt;=_TM1,B228&lt;=_TM2,OR(TH!L228="1111",TH!M228="1111")),TH!D228,""),"")</f>
        <v/>
      </c>
      <c r="B228" s="12">
        <f t="shared" si="9"/>
        <v>8</v>
      </c>
      <c r="C228" s="105">
        <f t="shared" si="8"/>
        <v>42607</v>
      </c>
      <c r="D228" s="105" t="s">
        <v>584</v>
      </c>
      <c r="E228" s="110">
        <v>42607</v>
      </c>
      <c r="F228" s="109" t="s">
        <v>494</v>
      </c>
      <c r="G228" s="296" t="s">
        <v>731</v>
      </c>
      <c r="H228" s="4" t="s">
        <v>369</v>
      </c>
      <c r="I228" s="133"/>
      <c r="J228" s="133"/>
      <c r="K228" s="13">
        <v>166100</v>
      </c>
      <c r="L228" s="113" t="s">
        <v>251</v>
      </c>
      <c r="M228" s="402" t="s">
        <v>350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563"/>
    </row>
    <row r="229" spans="1:26" ht="15.75" customHeight="1">
      <c r="A229" s="120" t="str">
        <f>IF(B229&lt;&gt;"",IF(AND(B229&gt;=_TM1,B229&lt;=_TM2,OR(TH!L229="1111",TH!M229="1111")),TH!D229,""),"")</f>
        <v/>
      </c>
      <c r="B229" s="12">
        <f t="shared" si="9"/>
        <v>8</v>
      </c>
      <c r="C229" s="105">
        <f t="shared" si="8"/>
        <v>42608</v>
      </c>
      <c r="D229" s="105" t="s">
        <v>1009</v>
      </c>
      <c r="E229" s="110">
        <v>42608</v>
      </c>
      <c r="F229" s="109" t="s">
        <v>483</v>
      </c>
      <c r="G229" s="296" t="s">
        <v>472</v>
      </c>
      <c r="H229" s="4" t="s">
        <v>473</v>
      </c>
      <c r="I229" s="133"/>
      <c r="J229" s="133"/>
      <c r="K229" s="401">
        <v>12600000</v>
      </c>
      <c r="L229" s="402" t="s">
        <v>46</v>
      </c>
      <c r="M229" s="402" t="s">
        <v>24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/>
      </c>
      <c r="P229" s="22" t="str">
        <f>IF(AND($L229=$O$7,$B229&lt;'111'!$N$11),"x","")</f>
        <v>x</v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>x</v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563"/>
    </row>
    <row r="230" spans="1:26" ht="15.75" customHeight="1">
      <c r="A230" s="120" t="str">
        <f>IF(B230&lt;&gt;"",IF(AND(B230&gt;=_TM1,B230&lt;=_TM2,OR(TH!L230="1111",TH!M230="1111")),TH!D230,""),"")</f>
        <v/>
      </c>
      <c r="B230" s="12">
        <f t="shared" si="9"/>
        <v>8</v>
      </c>
      <c r="C230" s="105">
        <f t="shared" si="8"/>
        <v>42608</v>
      </c>
      <c r="D230" s="105" t="s">
        <v>585</v>
      </c>
      <c r="E230" s="110">
        <v>42608</v>
      </c>
      <c r="F230" s="109" t="s">
        <v>532</v>
      </c>
      <c r="G230" s="296" t="s">
        <v>732</v>
      </c>
      <c r="H230" s="112" t="s">
        <v>619</v>
      </c>
      <c r="I230" s="133">
        <v>120</v>
      </c>
      <c r="J230" s="133">
        <v>19000</v>
      </c>
      <c r="K230" s="13">
        <f>ROUND(I230*J230,0)</f>
        <v>2280000</v>
      </c>
      <c r="L230" s="113" t="s">
        <v>251</v>
      </c>
      <c r="M230" s="402" t="s">
        <v>168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563"/>
    </row>
    <row r="231" spans="1:26" ht="15.75" customHeight="1">
      <c r="A231" s="120" t="str">
        <f>IF(B231&lt;&gt;"",IF(AND(B231&gt;=_TM1,B231&lt;=_TM2,OR(TH!L231="1111",TH!M231="1111")),TH!D231,""),"")</f>
        <v/>
      </c>
      <c r="B231" s="12">
        <f t="shared" si="9"/>
        <v>8</v>
      </c>
      <c r="C231" s="105">
        <f t="shared" si="8"/>
        <v>42608</v>
      </c>
      <c r="D231" s="105" t="s">
        <v>585</v>
      </c>
      <c r="E231" s="110">
        <v>42608</v>
      </c>
      <c r="F231" s="109" t="s">
        <v>533</v>
      </c>
      <c r="G231" s="296" t="s">
        <v>732</v>
      </c>
      <c r="H231" s="112" t="s">
        <v>619</v>
      </c>
      <c r="I231" s="133">
        <v>240</v>
      </c>
      <c r="J231" s="133">
        <v>1750</v>
      </c>
      <c r="K231" s="13">
        <f>ROUND(I231*J231,0)</f>
        <v>420000</v>
      </c>
      <c r="L231" s="113" t="s">
        <v>251</v>
      </c>
      <c r="M231" s="402" t="s">
        <v>168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563"/>
    </row>
    <row r="232" spans="1:26" ht="15.75" customHeight="1">
      <c r="A232" s="120" t="str">
        <f>IF(B232&lt;&gt;"",IF(AND(B232&gt;=_TM1,B232&lt;=_TM2,OR(TH!L232="1111",TH!M232="1111")),TH!D232,""),"")</f>
        <v/>
      </c>
      <c r="B232" s="12">
        <f t="shared" si="9"/>
        <v>8</v>
      </c>
      <c r="C232" s="105">
        <f t="shared" ref="C232:C295" si="10">E232</f>
        <v>42608</v>
      </c>
      <c r="D232" s="105" t="s">
        <v>585</v>
      </c>
      <c r="E232" s="110">
        <v>42608</v>
      </c>
      <c r="F232" s="109" t="s">
        <v>494</v>
      </c>
      <c r="G232" s="296" t="s">
        <v>732</v>
      </c>
      <c r="H232" s="112" t="s">
        <v>619</v>
      </c>
      <c r="I232" s="133"/>
      <c r="J232" s="133"/>
      <c r="K232" s="13">
        <v>270000</v>
      </c>
      <c r="L232" s="113" t="s">
        <v>251</v>
      </c>
      <c r="M232" s="402" t="s">
        <v>350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563"/>
    </row>
    <row r="233" spans="1:26" ht="15.75" customHeight="1">
      <c r="A233" s="120" t="str">
        <f>IF(B233&lt;&gt;"",IF(AND(B233&gt;=_TM1,B233&lt;=_TM2,OR(TH!L233="1111",TH!M233="1111")),TH!D233,""),"")</f>
        <v/>
      </c>
      <c r="B233" s="12">
        <f t="shared" si="9"/>
        <v>8</v>
      </c>
      <c r="C233" s="105">
        <f t="shared" si="10"/>
        <v>42608</v>
      </c>
      <c r="D233" s="105" t="s">
        <v>1010</v>
      </c>
      <c r="E233" s="110">
        <v>42608</v>
      </c>
      <c r="F233" s="111" t="s">
        <v>482</v>
      </c>
      <c r="G233" s="296" t="s">
        <v>732</v>
      </c>
      <c r="H233" s="112" t="s">
        <v>619</v>
      </c>
      <c r="I233" s="133"/>
      <c r="J233" s="133"/>
      <c r="K233" s="13">
        <v>2970000</v>
      </c>
      <c r="L233" s="113" t="s">
        <v>46</v>
      </c>
      <c r="M233" s="402" t="s">
        <v>251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/>
      </c>
      <c r="P233" s="22" t="str">
        <f>IF(AND($L233=$O$7,$B233&lt;'111'!$N$11),"x","")</f>
        <v>x</v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563"/>
    </row>
    <row r="234" spans="1:26" ht="15.75" customHeight="1">
      <c r="A234" s="120" t="str">
        <f>IF(B234&lt;&gt;"",IF(AND(B234&gt;=_TM1,B234&lt;=_TM2,OR(TH!L234="1111",TH!M234="1111")),TH!D234,""),"")</f>
        <v/>
      </c>
      <c r="B234" s="12">
        <f t="shared" si="9"/>
        <v>8</v>
      </c>
      <c r="C234" s="105">
        <f t="shared" si="10"/>
        <v>42608</v>
      </c>
      <c r="D234" s="105" t="s">
        <v>586</v>
      </c>
      <c r="E234" s="110">
        <v>42608</v>
      </c>
      <c r="F234" s="109" t="s">
        <v>513</v>
      </c>
      <c r="G234" s="296" t="s">
        <v>733</v>
      </c>
      <c r="H234" s="4" t="s">
        <v>364</v>
      </c>
      <c r="I234" s="133">
        <v>513</v>
      </c>
      <c r="J234" s="133">
        <v>10500</v>
      </c>
      <c r="K234" s="13">
        <f>ROUND(I234*J234,0)</f>
        <v>5386500</v>
      </c>
      <c r="L234" s="113" t="s">
        <v>251</v>
      </c>
      <c r="M234" s="402" t="s">
        <v>168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563"/>
    </row>
    <row r="235" spans="1:26" ht="15.75" customHeight="1">
      <c r="A235" s="120" t="str">
        <f>IF(B235&lt;&gt;"",IF(AND(B235&gt;=_TM1,B235&lt;=_TM2,OR(TH!L235="1111",TH!M235="1111")),TH!D235,""),"")</f>
        <v/>
      </c>
      <c r="B235" s="12">
        <f t="shared" si="9"/>
        <v>8</v>
      </c>
      <c r="C235" s="105">
        <f t="shared" si="10"/>
        <v>42608</v>
      </c>
      <c r="D235" s="105" t="s">
        <v>586</v>
      </c>
      <c r="E235" s="110">
        <v>42608</v>
      </c>
      <c r="F235" s="109" t="s">
        <v>494</v>
      </c>
      <c r="G235" s="296" t="s">
        <v>733</v>
      </c>
      <c r="H235" s="4" t="s">
        <v>364</v>
      </c>
      <c r="I235" s="133"/>
      <c r="J235" s="133"/>
      <c r="K235" s="13">
        <v>538650</v>
      </c>
      <c r="L235" s="113" t="s">
        <v>251</v>
      </c>
      <c r="M235" s="402" t="s">
        <v>350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563"/>
    </row>
    <row r="236" spans="1:26" ht="15.75" customHeight="1">
      <c r="A236" s="120" t="str">
        <f>IF(B236&lt;&gt;"",IF(AND(B236&gt;=_TM1,B236&lt;=_TM2,OR(TH!L236="1111",TH!M236="1111")),TH!D236,""),"")</f>
        <v/>
      </c>
      <c r="B236" s="12">
        <f t="shared" si="9"/>
        <v>8</v>
      </c>
      <c r="C236" s="105">
        <f t="shared" si="10"/>
        <v>42608</v>
      </c>
      <c r="D236" s="105" t="s">
        <v>587</v>
      </c>
      <c r="E236" s="110">
        <v>42608</v>
      </c>
      <c r="F236" s="109" t="s">
        <v>534</v>
      </c>
      <c r="G236" s="296" t="s">
        <v>734</v>
      </c>
      <c r="H236" s="4" t="s">
        <v>620</v>
      </c>
      <c r="I236" s="133">
        <v>1000</v>
      </c>
      <c r="J236" s="133">
        <v>7700</v>
      </c>
      <c r="K236" s="13">
        <f>ROUND(I236*J236,0)</f>
        <v>7700000</v>
      </c>
      <c r="L236" s="113" t="s">
        <v>251</v>
      </c>
      <c r="M236" s="402" t="s">
        <v>168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563"/>
    </row>
    <row r="237" spans="1:26" ht="15.75" customHeight="1">
      <c r="A237" s="120" t="str">
        <f>IF(B237&lt;&gt;"",IF(AND(B237&gt;=_TM1,B237&lt;=_TM2,OR(TH!L237="1111",TH!M237="1111")),TH!D237,""),"")</f>
        <v/>
      </c>
      <c r="B237" s="12">
        <f t="shared" si="9"/>
        <v>8</v>
      </c>
      <c r="C237" s="105">
        <f t="shared" si="10"/>
        <v>42608</v>
      </c>
      <c r="D237" s="105" t="s">
        <v>587</v>
      </c>
      <c r="E237" s="110">
        <v>42608</v>
      </c>
      <c r="F237" s="109" t="s">
        <v>535</v>
      </c>
      <c r="G237" s="296" t="s">
        <v>734</v>
      </c>
      <c r="H237" s="4" t="s">
        <v>620</v>
      </c>
      <c r="I237" s="133">
        <v>970</v>
      </c>
      <c r="J237" s="133">
        <v>6400</v>
      </c>
      <c r="K237" s="13">
        <f>ROUND(I237*J237,0)</f>
        <v>6208000</v>
      </c>
      <c r="L237" s="113" t="s">
        <v>251</v>
      </c>
      <c r="M237" s="402" t="s">
        <v>168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563"/>
    </row>
    <row r="238" spans="1:26" ht="15.75" customHeight="1">
      <c r="A238" s="120" t="str">
        <f>IF(B238&lt;&gt;"",IF(AND(B238&gt;=_TM1,B238&lt;=_TM2,OR(TH!L238="1111",TH!M238="1111")),TH!D238,""),"")</f>
        <v/>
      </c>
      <c r="B238" s="12">
        <f t="shared" si="9"/>
        <v>8</v>
      </c>
      <c r="C238" s="105">
        <f t="shared" si="10"/>
        <v>42608</v>
      </c>
      <c r="D238" s="105" t="s">
        <v>587</v>
      </c>
      <c r="E238" s="110">
        <v>42608</v>
      </c>
      <c r="F238" s="109" t="s">
        <v>494</v>
      </c>
      <c r="G238" s="296" t="s">
        <v>734</v>
      </c>
      <c r="H238" s="4" t="s">
        <v>620</v>
      </c>
      <c r="I238" s="133"/>
      <c r="J238" s="133"/>
      <c r="K238" s="13">
        <v>1390800</v>
      </c>
      <c r="L238" s="113" t="s">
        <v>251</v>
      </c>
      <c r="M238" s="402" t="s">
        <v>350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563"/>
    </row>
    <row r="239" spans="1:26" ht="15.75" customHeight="1">
      <c r="A239" s="120" t="str">
        <f>IF(B239&lt;&gt;"",IF(AND(B239&gt;=_TM1,B239&lt;=_TM2,OR(TH!L239="1111",TH!M239="1111")),TH!D239,""),"")</f>
        <v/>
      </c>
      <c r="B239" s="12">
        <f t="shared" si="9"/>
        <v>8</v>
      </c>
      <c r="C239" s="105">
        <f t="shared" si="10"/>
        <v>42608</v>
      </c>
      <c r="D239" s="105" t="s">
        <v>1014</v>
      </c>
      <c r="E239" s="110">
        <v>42608</v>
      </c>
      <c r="F239" s="111" t="s">
        <v>482</v>
      </c>
      <c r="G239" s="296" t="s">
        <v>734</v>
      </c>
      <c r="H239" s="4" t="s">
        <v>620</v>
      </c>
      <c r="I239" s="133"/>
      <c r="J239" s="133"/>
      <c r="K239" s="13">
        <v>15298800</v>
      </c>
      <c r="L239" s="113" t="s">
        <v>46</v>
      </c>
      <c r="M239" s="402" t="s">
        <v>251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>x</v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563"/>
    </row>
    <row r="240" spans="1:26" ht="15.75" customHeight="1">
      <c r="A240" s="120" t="str">
        <f>IF(B240&lt;&gt;"",IF(AND(B240&gt;=_TM1,B240&lt;=_TM2,OR(TH!L240="1111",TH!M240="1111")),TH!D240,""),"")</f>
        <v/>
      </c>
      <c r="B240" s="12">
        <f t="shared" si="9"/>
        <v>8</v>
      </c>
      <c r="C240" s="105">
        <f t="shared" si="10"/>
        <v>42609</v>
      </c>
      <c r="D240" s="105" t="s">
        <v>588</v>
      </c>
      <c r="E240" s="110">
        <v>42609</v>
      </c>
      <c r="F240" s="109" t="s">
        <v>536</v>
      </c>
      <c r="G240" s="296" t="s">
        <v>735</v>
      </c>
      <c r="H240" s="4" t="s">
        <v>616</v>
      </c>
      <c r="I240" s="133">
        <v>203</v>
      </c>
      <c r="J240" s="133">
        <v>6400</v>
      </c>
      <c r="K240" s="13">
        <f>ROUND(I240*J240,0)</f>
        <v>1299200</v>
      </c>
      <c r="L240" s="113" t="s">
        <v>251</v>
      </c>
      <c r="M240" s="402" t="s">
        <v>168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563"/>
    </row>
    <row r="241" spans="1:26" ht="15.75" customHeight="1">
      <c r="A241" s="120" t="str">
        <f>IF(B241&lt;&gt;"",IF(AND(B241&gt;=_TM1,B241&lt;=_TM2,OR(TH!L241="1111",TH!M241="1111")),TH!D241,""),"")</f>
        <v/>
      </c>
      <c r="B241" s="12">
        <f t="shared" si="9"/>
        <v>8</v>
      </c>
      <c r="C241" s="105">
        <f t="shared" si="10"/>
        <v>42609</v>
      </c>
      <c r="D241" s="105" t="s">
        <v>588</v>
      </c>
      <c r="E241" s="110">
        <v>42609</v>
      </c>
      <c r="F241" s="109" t="s">
        <v>494</v>
      </c>
      <c r="G241" s="296" t="s">
        <v>735</v>
      </c>
      <c r="H241" s="4" t="s">
        <v>616</v>
      </c>
      <c r="I241" s="133"/>
      <c r="J241" s="133"/>
      <c r="K241" s="13">
        <v>129920</v>
      </c>
      <c r="L241" s="113" t="s">
        <v>251</v>
      </c>
      <c r="M241" s="402" t="s">
        <v>350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563"/>
    </row>
    <row r="242" spans="1:26" ht="15.75" customHeight="1">
      <c r="A242" s="120" t="str">
        <f>IF(B242&lt;&gt;"",IF(AND(B242&gt;=_TM1,B242&lt;=_TM2,OR(TH!L242="1111",TH!M242="1111")),TH!D242,""),"")</f>
        <v/>
      </c>
      <c r="B242" s="12">
        <f t="shared" si="9"/>
        <v>8</v>
      </c>
      <c r="C242" s="105">
        <f t="shared" si="10"/>
        <v>42611</v>
      </c>
      <c r="D242" s="105" t="s">
        <v>589</v>
      </c>
      <c r="E242" s="110">
        <v>42611</v>
      </c>
      <c r="F242" s="109" t="s">
        <v>527</v>
      </c>
      <c r="G242" s="296" t="s">
        <v>736</v>
      </c>
      <c r="H242" s="4" t="s">
        <v>367</v>
      </c>
      <c r="I242" s="133">
        <v>160</v>
      </c>
      <c r="J242" s="133">
        <v>47449</v>
      </c>
      <c r="K242" s="13">
        <f>ROUND(I242*J242,0)</f>
        <v>7591840</v>
      </c>
      <c r="L242" s="113" t="s">
        <v>251</v>
      </c>
      <c r="M242" s="402" t="s">
        <v>168</v>
      </c>
      <c r="N242" s="22" t="str">
        <f>IF(AND('331-CT'!$E$7=TH!H242,OR(L242="331",M242="331")),"331",IF(AND(OR(L242="131",M242="131"),H242='131-CT'!$E$7),"131",""))</f>
        <v>131</v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563"/>
    </row>
    <row r="243" spans="1:26" ht="15.75" customHeight="1">
      <c r="A243" s="120" t="str">
        <f>IF(B243&lt;&gt;"",IF(AND(B243&gt;=_TM1,B243&lt;=_TM2,OR(TH!L243="1111",TH!M243="1111")),TH!D243,""),"")</f>
        <v/>
      </c>
      <c r="B243" s="12">
        <f t="shared" si="9"/>
        <v>8</v>
      </c>
      <c r="C243" s="105">
        <f t="shared" si="10"/>
        <v>42611</v>
      </c>
      <c r="D243" s="105" t="s">
        <v>589</v>
      </c>
      <c r="E243" s="110">
        <v>42611</v>
      </c>
      <c r="F243" s="109" t="s">
        <v>494</v>
      </c>
      <c r="G243" s="296" t="s">
        <v>736</v>
      </c>
      <c r="H243" s="4" t="s">
        <v>367</v>
      </c>
      <c r="I243" s="133"/>
      <c r="J243" s="133"/>
      <c r="K243" s="13">
        <v>759184</v>
      </c>
      <c r="L243" s="113" t="s">
        <v>251</v>
      </c>
      <c r="M243" s="402" t="s">
        <v>350</v>
      </c>
      <c r="N243" s="22" t="str">
        <f>IF(AND('331-CT'!$E$7=TH!H243,OR(L243="331",M243="331")),"331",IF(AND(OR(L243="131",M243="131"),H243='131-CT'!$E$7),"131",""))</f>
        <v>131</v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563"/>
    </row>
    <row r="244" spans="1:26" ht="15.75" customHeight="1">
      <c r="A244" s="120" t="str">
        <f>IF(B244&lt;&gt;"",IF(AND(B244&gt;=_TM1,B244&lt;=_TM2,OR(TH!L244="1111",TH!M244="1111")),TH!D244,""),"")</f>
        <v/>
      </c>
      <c r="B244" s="12">
        <f t="shared" si="9"/>
        <v>8</v>
      </c>
      <c r="C244" s="105">
        <f t="shared" si="10"/>
        <v>42611</v>
      </c>
      <c r="D244" s="105" t="s">
        <v>1015</v>
      </c>
      <c r="E244" s="110">
        <v>42611</v>
      </c>
      <c r="F244" s="111" t="s">
        <v>482</v>
      </c>
      <c r="G244" s="296" t="s">
        <v>736</v>
      </c>
      <c r="H244" s="4" t="s">
        <v>367</v>
      </c>
      <c r="I244" s="133"/>
      <c r="J244" s="133"/>
      <c r="K244" s="13">
        <v>8351024</v>
      </c>
      <c r="L244" s="113" t="s">
        <v>46</v>
      </c>
      <c r="M244" s="402" t="s">
        <v>251</v>
      </c>
      <c r="N244" s="22" t="str">
        <f>IF(AND('331-CT'!$E$7=TH!H244,OR(L244="331",M244="331")),"331",IF(AND(OR(L244="131",M244="131"),H244='131-CT'!$E$7),"131",""))</f>
        <v>131</v>
      </c>
      <c r="O244" s="22" t="str">
        <f>IF(AND($B244&gt;='111'!$N$11,$B244&lt;='111'!$O$11,OR($L244=$O$7,$M244=$O$7)),"x","")</f>
        <v/>
      </c>
      <c r="P244" s="22" t="str">
        <f>IF(AND($L244=$O$7,$B244&lt;'111'!$N$11),"x","")</f>
        <v>x</v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563"/>
    </row>
    <row r="245" spans="1:26" ht="15.75" customHeight="1">
      <c r="A245" s="120" t="str">
        <f>IF(B245&lt;&gt;"",IF(AND(B245&gt;=_TM1,B245&lt;=_TM2,OR(TH!L245="1111",TH!M245="1111")),TH!D245,""),"")</f>
        <v/>
      </c>
      <c r="B245" s="12">
        <f t="shared" si="9"/>
        <v>8</v>
      </c>
      <c r="C245" s="105">
        <f t="shared" si="10"/>
        <v>42612</v>
      </c>
      <c r="D245" s="105" t="s">
        <v>590</v>
      </c>
      <c r="E245" s="110">
        <v>42612</v>
      </c>
      <c r="F245" s="109" t="s">
        <v>368</v>
      </c>
      <c r="G245" s="296" t="s">
        <v>737</v>
      </c>
      <c r="H245" s="4" t="s">
        <v>618</v>
      </c>
      <c r="I245" s="133">
        <v>500</v>
      </c>
      <c r="J245" s="133">
        <v>12950</v>
      </c>
      <c r="K245" s="13">
        <f>ROUND(I245*J245,0)</f>
        <v>6475000</v>
      </c>
      <c r="L245" s="113" t="s">
        <v>251</v>
      </c>
      <c r="M245" s="402" t="s">
        <v>168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563"/>
    </row>
    <row r="246" spans="1:26" ht="15.75" customHeight="1">
      <c r="A246" s="120" t="str">
        <f>IF(B246&lt;&gt;"",IF(AND(B246&gt;=_TM1,B246&lt;=_TM2,OR(TH!L246="1111",TH!M246="1111")),TH!D246,""),"")</f>
        <v/>
      </c>
      <c r="B246" s="12">
        <f t="shared" si="9"/>
        <v>8</v>
      </c>
      <c r="C246" s="105">
        <f t="shared" si="10"/>
        <v>42612</v>
      </c>
      <c r="D246" s="105" t="s">
        <v>590</v>
      </c>
      <c r="E246" s="110">
        <v>42612</v>
      </c>
      <c r="F246" s="109" t="s">
        <v>537</v>
      </c>
      <c r="G246" s="296" t="s">
        <v>737</v>
      </c>
      <c r="H246" s="4" t="s">
        <v>618</v>
      </c>
      <c r="I246" s="133"/>
      <c r="J246" s="133"/>
      <c r="K246" s="13">
        <v>647500</v>
      </c>
      <c r="L246" s="113" t="s">
        <v>251</v>
      </c>
      <c r="M246" s="402" t="s">
        <v>350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563"/>
    </row>
    <row r="247" spans="1:26" ht="15.75" customHeight="1">
      <c r="A247" s="120" t="str">
        <f>IF(B247&lt;&gt;"",IF(AND(B247&gt;=_TM1,B247&lt;=_TM2,OR(TH!L247="1111",TH!M247="1111")),TH!D247,""),"")</f>
        <v/>
      </c>
      <c r="B247" s="12">
        <f t="shared" si="9"/>
        <v>8</v>
      </c>
      <c r="C247" s="105">
        <f t="shared" si="10"/>
        <v>42612</v>
      </c>
      <c r="D247" s="105" t="s">
        <v>1016</v>
      </c>
      <c r="E247" s="110">
        <v>42612</v>
      </c>
      <c r="F247" s="111" t="s">
        <v>482</v>
      </c>
      <c r="G247" s="296" t="s">
        <v>1028</v>
      </c>
      <c r="H247" s="4" t="s">
        <v>618</v>
      </c>
      <c r="I247" s="133"/>
      <c r="J247" s="133"/>
      <c r="K247" s="13">
        <v>12640100</v>
      </c>
      <c r="L247" s="113" t="s">
        <v>46</v>
      </c>
      <c r="M247" s="402" t="s">
        <v>251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>x</v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563"/>
    </row>
    <row r="248" spans="1:26" ht="15.75" customHeight="1">
      <c r="A248" s="120" t="str">
        <f>IF(B248&lt;&gt;"",IF(AND(B248&gt;=_TM1,B248&lt;=_TM2,OR(TH!L248="1111",TH!M248="1111")),TH!D248,""),"")</f>
        <v/>
      </c>
      <c r="B248" s="580">
        <f t="shared" si="9"/>
        <v>8</v>
      </c>
      <c r="C248" s="557">
        <f t="shared" si="10"/>
        <v>42613</v>
      </c>
      <c r="D248" s="557" t="s">
        <v>323</v>
      </c>
      <c r="E248" s="557">
        <v>42613</v>
      </c>
      <c r="F248" s="560" t="s">
        <v>819</v>
      </c>
      <c r="G248" s="576"/>
      <c r="H248" s="577"/>
      <c r="I248" s="559"/>
      <c r="J248" s="559"/>
      <c r="K248" s="562">
        <v>4405000</v>
      </c>
      <c r="L248" s="578" t="s">
        <v>82</v>
      </c>
      <c r="M248" s="578" t="s">
        <v>254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>x</v>
      </c>
      <c r="Y248" s="22" t="str">
        <f>IF(AND(B248&lt;=NKC!$N$8,B248&gt;=NKC!$M$8),"x","")</f>
        <v>x</v>
      </c>
      <c r="Z248" s="579"/>
    </row>
    <row r="249" spans="1:26" ht="15.75" customHeight="1">
      <c r="A249" s="120" t="str">
        <f>IF(B249&lt;&gt;"",IF(AND(B249&gt;=_TM1,B249&lt;=_TM2,OR(TH!L249="1111",TH!M249="1111")),TH!D249,""),"")</f>
        <v/>
      </c>
      <c r="B249" s="580">
        <f t="shared" si="9"/>
        <v>8</v>
      </c>
      <c r="C249" s="557">
        <f t="shared" si="10"/>
        <v>42613</v>
      </c>
      <c r="D249" s="557" t="s">
        <v>323</v>
      </c>
      <c r="E249" s="557">
        <v>42613</v>
      </c>
      <c r="F249" s="560" t="s">
        <v>820</v>
      </c>
      <c r="G249" s="576"/>
      <c r="H249" s="577"/>
      <c r="I249" s="559"/>
      <c r="J249" s="559"/>
      <c r="K249" s="562">
        <v>14020000</v>
      </c>
      <c r="L249" s="578" t="s">
        <v>159</v>
      </c>
      <c r="M249" s="578" t="s">
        <v>254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579"/>
    </row>
    <row r="250" spans="1:26" ht="15.75" customHeight="1">
      <c r="A250" s="120" t="str">
        <f>IF(B250&lt;&gt;"",IF(AND(B250&gt;=_TM1,B250&lt;=_TM2,OR(TH!L250="1111",TH!M250="1111")),TH!D250,""),"")</f>
        <v/>
      </c>
      <c r="B250" s="580">
        <f t="shared" si="9"/>
        <v>8</v>
      </c>
      <c r="C250" s="557">
        <f t="shared" si="10"/>
        <v>42613</v>
      </c>
      <c r="D250" s="557" t="s">
        <v>1001</v>
      </c>
      <c r="E250" s="557">
        <v>42613</v>
      </c>
      <c r="F250" s="560" t="str">
        <f>"Thanh toán tiền lương tháng "&amp;MONTH(E250)&amp;"/"&amp;YEAR(E250)</f>
        <v>Thanh toán tiền lương tháng 8/2016</v>
      </c>
      <c r="G250" s="576"/>
      <c r="H250" s="577" t="s">
        <v>794</v>
      </c>
      <c r="I250" s="559"/>
      <c r="J250" s="559"/>
      <c r="K250" s="562">
        <f>K248+K249</f>
        <v>18425000</v>
      </c>
      <c r="L250" s="578" t="s">
        <v>254</v>
      </c>
      <c r="M250" s="578" t="s">
        <v>46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>x</v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579"/>
    </row>
    <row r="251" spans="1:26" ht="15.75" customHeight="1">
      <c r="A251" s="120" t="str">
        <f>IF(B251&lt;&gt;"",IF(AND(B251&gt;=_TM1,B251&lt;=_TM2,OR(TH!L251="1111",TH!M251="1111")),TH!D251,""),"")</f>
        <v/>
      </c>
      <c r="B251" s="12">
        <f t="shared" si="9"/>
        <v>8</v>
      </c>
      <c r="C251" s="105">
        <f t="shared" si="10"/>
        <v>42613</v>
      </c>
      <c r="D251" s="105" t="s">
        <v>461</v>
      </c>
      <c r="E251" s="105">
        <v>42613</v>
      </c>
      <c r="F251" s="109" t="s">
        <v>442</v>
      </c>
      <c r="G251" s="296" t="s">
        <v>445</v>
      </c>
      <c r="H251" s="112" t="s">
        <v>440</v>
      </c>
      <c r="I251" s="133">
        <v>12830</v>
      </c>
      <c r="J251" s="133">
        <v>780</v>
      </c>
      <c r="K251" s="13">
        <f>ROUND(I251*J251,0)</f>
        <v>10007400</v>
      </c>
      <c r="L251" s="113" t="s">
        <v>155</v>
      </c>
      <c r="M251" s="113" t="s">
        <v>8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>x</v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563">
        <v>3</v>
      </c>
    </row>
    <row r="252" spans="1:26" ht="15.75" customHeight="1">
      <c r="A252" s="120" t="str">
        <f>IF(B252&lt;&gt;"",IF(AND(B252&gt;=_TM1,B252&lt;=_TM2,OR(TH!L252="1111",TH!M252="1111")),TH!D252,""),"")</f>
        <v/>
      </c>
      <c r="B252" s="12">
        <f t="shared" si="9"/>
        <v>8</v>
      </c>
      <c r="C252" s="105">
        <f t="shared" si="10"/>
        <v>42613</v>
      </c>
      <c r="D252" s="105" t="s">
        <v>461</v>
      </c>
      <c r="E252" s="105">
        <v>42613</v>
      </c>
      <c r="F252" s="109" t="s">
        <v>443</v>
      </c>
      <c r="G252" s="296" t="s">
        <v>445</v>
      </c>
      <c r="H252" s="112" t="s">
        <v>440</v>
      </c>
      <c r="I252" s="133"/>
      <c r="J252" s="133"/>
      <c r="K252" s="401">
        <v>1000740</v>
      </c>
      <c r="L252" s="113" t="s">
        <v>9</v>
      </c>
      <c r="M252" s="113" t="s">
        <v>8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563">
        <v>3</v>
      </c>
    </row>
    <row r="253" spans="1:26" ht="15.75" customHeight="1">
      <c r="A253" s="120" t="str">
        <f>IF(B253&lt;&gt;"",IF(AND(B253&gt;=_TM1,B253&lt;=_TM2,OR(TH!L253="1111",TH!M253="1111")),TH!D253,""),"")</f>
        <v/>
      </c>
      <c r="B253" s="12">
        <f t="shared" si="9"/>
        <v>8</v>
      </c>
      <c r="C253" s="105">
        <f t="shared" si="10"/>
        <v>42613</v>
      </c>
      <c r="D253" s="105" t="s">
        <v>1002</v>
      </c>
      <c r="E253" s="105">
        <v>42613</v>
      </c>
      <c r="F253" s="109" t="s">
        <v>463</v>
      </c>
      <c r="G253" s="296" t="s">
        <v>445</v>
      </c>
      <c r="H253" s="112" t="s">
        <v>440</v>
      </c>
      <c r="I253" s="133"/>
      <c r="J253" s="133"/>
      <c r="K253" s="401">
        <v>11008140</v>
      </c>
      <c r="L253" s="113" t="s">
        <v>8</v>
      </c>
      <c r="M253" s="113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>x</v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563"/>
    </row>
    <row r="254" spans="1:26" ht="15.75" customHeight="1">
      <c r="A254" s="120" t="str">
        <f>IF(B254&lt;&gt;"",IF(AND(B254&gt;=_TM1,B254&lt;=_TM2,OR(TH!L254="1111",TH!M254="1111")),TH!D254,""),"")</f>
        <v/>
      </c>
      <c r="B254" s="12">
        <f t="shared" si="9"/>
        <v>8</v>
      </c>
      <c r="C254" s="105">
        <f t="shared" si="10"/>
        <v>42613</v>
      </c>
      <c r="D254" s="105" t="s">
        <v>1005</v>
      </c>
      <c r="E254" s="105">
        <v>42613</v>
      </c>
      <c r="F254" s="109" t="s">
        <v>624</v>
      </c>
      <c r="G254" s="296"/>
      <c r="H254" s="112" t="s">
        <v>486</v>
      </c>
      <c r="I254" s="133"/>
      <c r="J254" s="133"/>
      <c r="K254" s="401">
        <f>ROUND((15*15000+5*25000+6*30000+2*40000)/1.1,0)</f>
        <v>554545</v>
      </c>
      <c r="L254" s="402" t="s">
        <v>253</v>
      </c>
      <c r="M254" s="402" t="s">
        <v>46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>x</v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563">
        <v>3</v>
      </c>
    </row>
    <row r="255" spans="1:26" ht="15.75" customHeight="1">
      <c r="A255" s="120" t="str">
        <f>IF(B255&lt;&gt;"",IF(AND(B255&gt;=_TM1,B255&lt;=_TM2,OR(TH!L255="1111",TH!M255="1111")),TH!D255,""),"")</f>
        <v/>
      </c>
      <c r="B255" s="12">
        <f t="shared" si="9"/>
        <v>8</v>
      </c>
      <c r="C255" s="105">
        <f t="shared" si="10"/>
        <v>42613</v>
      </c>
      <c r="D255" s="105" t="s">
        <v>1005</v>
      </c>
      <c r="E255" s="105">
        <v>42613</v>
      </c>
      <c r="F255" s="109" t="s">
        <v>625</v>
      </c>
      <c r="G255" s="296"/>
      <c r="H255" s="112"/>
      <c r="I255" s="133"/>
      <c r="J255" s="133"/>
      <c r="K255" s="401">
        <v>55455</v>
      </c>
      <c r="L255" s="402" t="s">
        <v>9</v>
      </c>
      <c r="M255" s="402" t="s">
        <v>46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>x</v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563">
        <v>3</v>
      </c>
    </row>
    <row r="256" spans="1:26" ht="15.75" customHeight="1">
      <c r="A256" s="120" t="str">
        <f>IF(B256&lt;&gt;"",IF(AND(B256&gt;=_TM1,B256&lt;=_TM2,OR(TH!L256="1111",TH!M256="1111")),TH!D256,""),"")</f>
        <v/>
      </c>
      <c r="B256" s="12">
        <f t="shared" si="9"/>
        <v>8</v>
      </c>
      <c r="C256" s="105">
        <f t="shared" si="10"/>
        <v>42613</v>
      </c>
      <c r="D256" s="105" t="s">
        <v>467</v>
      </c>
      <c r="E256" s="110">
        <v>42613</v>
      </c>
      <c r="F256" s="109" t="s">
        <v>482</v>
      </c>
      <c r="G256" s="296" t="s">
        <v>472</v>
      </c>
      <c r="H256" s="4" t="s">
        <v>369</v>
      </c>
      <c r="I256" s="133"/>
      <c r="J256" s="133"/>
      <c r="K256" s="401">
        <v>22752620</v>
      </c>
      <c r="L256" s="402" t="s">
        <v>24</v>
      </c>
      <c r="M256" s="402" t="s">
        <v>251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>x</v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563"/>
    </row>
    <row r="257" spans="1:26" ht="15.75" customHeight="1">
      <c r="A257" s="120" t="str">
        <f>IF(B257&lt;&gt;"",IF(AND(B257&gt;=_TM1,B257&lt;=_TM2,OR(TH!L257="1111",TH!M257="1111")),TH!D257,""),"")</f>
        <v/>
      </c>
      <c r="B257" s="12">
        <f t="shared" si="9"/>
        <v>8</v>
      </c>
      <c r="C257" s="105">
        <f t="shared" si="10"/>
        <v>42613</v>
      </c>
      <c r="D257" s="105" t="s">
        <v>591</v>
      </c>
      <c r="E257" s="110">
        <v>42613</v>
      </c>
      <c r="F257" s="109" t="s">
        <v>500</v>
      </c>
      <c r="G257" s="296" t="s">
        <v>738</v>
      </c>
      <c r="H257" s="4" t="s">
        <v>365</v>
      </c>
      <c r="I257" s="133">
        <v>1500</v>
      </c>
      <c r="J257" s="133">
        <v>13800</v>
      </c>
      <c r="K257" s="13">
        <f>ROUND(I257*J257,0)</f>
        <v>20700000</v>
      </c>
      <c r="L257" s="113" t="s">
        <v>251</v>
      </c>
      <c r="M257" s="402" t="s">
        <v>168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563"/>
    </row>
    <row r="258" spans="1:26" ht="15.75" customHeight="1">
      <c r="A258" s="120" t="str">
        <f>IF(B258&lt;&gt;"",IF(AND(B258&gt;=_TM1,B258&lt;=_TM2,OR(TH!L258="1111",TH!M258="1111")),TH!D258,""),"")</f>
        <v/>
      </c>
      <c r="B258" s="12">
        <f t="shared" si="9"/>
        <v>8</v>
      </c>
      <c r="C258" s="105">
        <f t="shared" si="10"/>
        <v>42613</v>
      </c>
      <c r="D258" s="105" t="s">
        <v>591</v>
      </c>
      <c r="E258" s="110">
        <v>42613</v>
      </c>
      <c r="F258" s="109" t="s">
        <v>500</v>
      </c>
      <c r="G258" s="296" t="s">
        <v>738</v>
      </c>
      <c r="H258" s="4" t="s">
        <v>365</v>
      </c>
      <c r="I258" s="133">
        <v>400</v>
      </c>
      <c r="J258" s="133">
        <v>13400</v>
      </c>
      <c r="K258" s="13">
        <f>ROUND(I258*J258,0)</f>
        <v>5360000</v>
      </c>
      <c r="L258" s="113" t="s">
        <v>251</v>
      </c>
      <c r="M258" s="402" t="s">
        <v>168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563"/>
    </row>
    <row r="259" spans="1:26" ht="15.75" customHeight="1">
      <c r="A259" s="120" t="str">
        <f>IF(B259&lt;&gt;"",IF(AND(B259&gt;=_TM1,B259&lt;=_TM2,OR(TH!L259="1111",TH!M259="1111")),TH!D259,""),"")</f>
        <v/>
      </c>
      <c r="B259" s="12">
        <f t="shared" si="9"/>
        <v>8</v>
      </c>
      <c r="C259" s="105">
        <f t="shared" si="10"/>
        <v>42613</v>
      </c>
      <c r="D259" s="105" t="s">
        <v>591</v>
      </c>
      <c r="E259" s="110">
        <v>42613</v>
      </c>
      <c r="F259" s="109" t="s">
        <v>375</v>
      </c>
      <c r="G259" s="296" t="s">
        <v>738</v>
      </c>
      <c r="H259" s="4" t="s">
        <v>365</v>
      </c>
      <c r="I259" s="133">
        <v>3800</v>
      </c>
      <c r="J259" s="133">
        <v>1300</v>
      </c>
      <c r="K259" s="13">
        <f>ROUND(I259*J259,0)</f>
        <v>4940000</v>
      </c>
      <c r="L259" s="113" t="s">
        <v>251</v>
      </c>
      <c r="M259" s="402" t="s">
        <v>168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563"/>
    </row>
    <row r="260" spans="1:26" ht="15.75" customHeight="1">
      <c r="A260" s="120" t="str">
        <f>IF(B260&lt;&gt;"",IF(AND(B260&gt;=_TM1,B260&lt;=_TM2,OR(TH!L260="1111",TH!M260="1111")),TH!D260,""),"")</f>
        <v/>
      </c>
      <c r="B260" s="12">
        <f t="shared" si="9"/>
        <v>8</v>
      </c>
      <c r="C260" s="105">
        <f t="shared" si="10"/>
        <v>42613</v>
      </c>
      <c r="D260" s="105" t="s">
        <v>591</v>
      </c>
      <c r="E260" s="110">
        <v>42613</v>
      </c>
      <c r="F260" s="109" t="s">
        <v>494</v>
      </c>
      <c r="G260" s="296" t="s">
        <v>738</v>
      </c>
      <c r="H260" s="4" t="s">
        <v>365</v>
      </c>
      <c r="I260" s="133"/>
      <c r="J260" s="133"/>
      <c r="K260" s="13">
        <v>3100000</v>
      </c>
      <c r="L260" s="113" t="s">
        <v>251</v>
      </c>
      <c r="M260" s="402" t="s">
        <v>350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563"/>
    </row>
    <row r="261" spans="1:26" ht="15.75" customHeight="1">
      <c r="A261" s="120" t="str">
        <f>IF(B261&lt;&gt;"",IF(AND(B261&gt;=_TM1,B261&lt;=_TM2,OR(TH!L261="1111",TH!M261="1111")),TH!D261,""),"")</f>
        <v/>
      </c>
      <c r="B261" s="12">
        <f t="shared" si="9"/>
        <v>8</v>
      </c>
      <c r="C261" s="105">
        <f t="shared" si="10"/>
        <v>42613</v>
      </c>
      <c r="D261" s="105" t="s">
        <v>592</v>
      </c>
      <c r="E261" s="110">
        <v>42613</v>
      </c>
      <c r="F261" s="109" t="s">
        <v>518</v>
      </c>
      <c r="G261" s="296" t="s">
        <v>739</v>
      </c>
      <c r="H261" s="4" t="s">
        <v>363</v>
      </c>
      <c r="I261" s="133">
        <v>819</v>
      </c>
      <c r="J261" s="133">
        <v>5000</v>
      </c>
      <c r="K261" s="13">
        <f>ROUND(I261*J261,0)</f>
        <v>4095000</v>
      </c>
      <c r="L261" s="113" t="s">
        <v>251</v>
      </c>
      <c r="M261" s="402" t="s">
        <v>168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563"/>
    </row>
    <row r="262" spans="1:26" ht="15.75" customHeight="1">
      <c r="A262" s="120" t="str">
        <f>IF(B262&lt;&gt;"",IF(AND(B262&gt;=_TM1,B262&lt;=_TM2,OR(TH!L262="1111",TH!M262="1111")),TH!D262,""),"")</f>
        <v/>
      </c>
      <c r="B262" s="12">
        <f t="shared" si="9"/>
        <v>8</v>
      </c>
      <c r="C262" s="105">
        <f t="shared" si="10"/>
        <v>42613</v>
      </c>
      <c r="D262" s="105" t="s">
        <v>592</v>
      </c>
      <c r="E262" s="110">
        <v>42613</v>
      </c>
      <c r="F262" s="109" t="s">
        <v>544</v>
      </c>
      <c r="G262" s="296" t="s">
        <v>739</v>
      </c>
      <c r="H262" s="4" t="s">
        <v>363</v>
      </c>
      <c r="I262" s="133">
        <v>610</v>
      </c>
      <c r="J262" s="133">
        <v>5550</v>
      </c>
      <c r="K262" s="13">
        <f>ROUND(I262*J262,0)</f>
        <v>3385500</v>
      </c>
      <c r="L262" s="113" t="s">
        <v>251</v>
      </c>
      <c r="M262" s="402" t="s">
        <v>168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563"/>
    </row>
    <row r="263" spans="1:26" ht="15.75" customHeight="1">
      <c r="A263" s="120" t="str">
        <f>IF(B263&lt;&gt;"",IF(AND(B263&gt;=_TM1,B263&lt;=_TM2,OR(TH!L263="1111",TH!M263="1111")),TH!D263,""),"")</f>
        <v/>
      </c>
      <c r="B263" s="12">
        <f t="shared" si="9"/>
        <v>8</v>
      </c>
      <c r="C263" s="105">
        <f t="shared" si="10"/>
        <v>42613</v>
      </c>
      <c r="D263" s="105" t="s">
        <v>592</v>
      </c>
      <c r="E263" s="110">
        <v>42613</v>
      </c>
      <c r="F263" s="109" t="s">
        <v>520</v>
      </c>
      <c r="G263" s="296" t="s">
        <v>739</v>
      </c>
      <c r="H263" s="4" t="s">
        <v>363</v>
      </c>
      <c r="I263" s="133">
        <v>599</v>
      </c>
      <c r="J263" s="133">
        <v>9700</v>
      </c>
      <c r="K263" s="13">
        <f>ROUND(I263*J263,0)</f>
        <v>5810300</v>
      </c>
      <c r="L263" s="113" t="s">
        <v>251</v>
      </c>
      <c r="M263" s="402" t="s">
        <v>168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563"/>
    </row>
    <row r="264" spans="1:26" ht="15.75" customHeight="1">
      <c r="A264" s="120" t="str">
        <f>IF(B264&lt;&gt;"",IF(AND(B264&gt;=_TM1,B264&lt;=_TM2,OR(TH!L264="1111",TH!M264="1111")),TH!D264,""),"")</f>
        <v/>
      </c>
      <c r="B264" s="12">
        <f t="shared" si="9"/>
        <v>8</v>
      </c>
      <c r="C264" s="105">
        <f t="shared" si="10"/>
        <v>42613</v>
      </c>
      <c r="D264" s="105" t="s">
        <v>592</v>
      </c>
      <c r="E264" s="110">
        <v>42613</v>
      </c>
      <c r="F264" s="109" t="s">
        <v>623</v>
      </c>
      <c r="G264" s="296" t="s">
        <v>739</v>
      </c>
      <c r="H264" s="4" t="s">
        <v>363</v>
      </c>
      <c r="I264" s="133">
        <v>305</v>
      </c>
      <c r="J264" s="133">
        <v>10670</v>
      </c>
      <c r="K264" s="13">
        <f>ROUND(I264*J264,0)</f>
        <v>3254350</v>
      </c>
      <c r="L264" s="113" t="s">
        <v>251</v>
      </c>
      <c r="M264" s="402" t="s">
        <v>168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563"/>
    </row>
    <row r="265" spans="1:26" ht="15.75" customHeight="1">
      <c r="A265" s="120" t="str">
        <f>IF(B265&lt;&gt;"",IF(AND(B265&gt;=_TM1,B265&lt;=_TM2,OR(TH!L265="1111",TH!M265="1111")),TH!D265,""),"")</f>
        <v/>
      </c>
      <c r="B265" s="12">
        <f t="shared" si="9"/>
        <v>8</v>
      </c>
      <c r="C265" s="105">
        <f t="shared" si="10"/>
        <v>42613</v>
      </c>
      <c r="D265" s="105" t="s">
        <v>592</v>
      </c>
      <c r="E265" s="110">
        <v>42613</v>
      </c>
      <c r="F265" s="109" t="s">
        <v>494</v>
      </c>
      <c r="G265" s="296" t="s">
        <v>739</v>
      </c>
      <c r="H265" s="4" t="s">
        <v>363</v>
      </c>
      <c r="I265" s="133"/>
      <c r="J265" s="133"/>
      <c r="K265" s="13">
        <v>1654515</v>
      </c>
      <c r="L265" s="113" t="s">
        <v>251</v>
      </c>
      <c r="M265" s="402" t="s">
        <v>350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563"/>
    </row>
    <row r="266" spans="1:26" ht="15.75" customHeight="1">
      <c r="A266" s="120" t="str">
        <f>IF(B266&lt;&gt;"",IF(AND(B266&gt;=_TM1,B266&lt;=_TM2,OR(TH!L266="1111",TH!M266="1111")),TH!D266,""),"")</f>
        <v/>
      </c>
      <c r="B266" s="12">
        <f t="shared" si="9"/>
        <v>9</v>
      </c>
      <c r="C266" s="105">
        <f t="shared" si="10"/>
        <v>42614</v>
      </c>
      <c r="D266" s="105" t="s">
        <v>1017</v>
      </c>
      <c r="E266" s="110">
        <v>42614</v>
      </c>
      <c r="F266" s="109" t="s">
        <v>483</v>
      </c>
      <c r="G266" s="296" t="s">
        <v>472</v>
      </c>
      <c r="H266" s="4" t="s">
        <v>473</v>
      </c>
      <c r="I266" s="133"/>
      <c r="J266" s="133"/>
      <c r="K266" s="13">
        <v>7000000</v>
      </c>
      <c r="L266" s="402" t="s">
        <v>46</v>
      </c>
      <c r="M266" s="402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>x</v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563"/>
    </row>
    <row r="267" spans="1:26" ht="15.75" customHeight="1">
      <c r="A267" s="120" t="str">
        <f>IF(B267&lt;&gt;"",IF(AND(B267&gt;=_TM1,B267&lt;=_TM2,OR(TH!L267="1111",TH!M267="1111")),TH!D267,""),"")</f>
        <v/>
      </c>
      <c r="B267" s="12">
        <f t="shared" si="9"/>
        <v>9</v>
      </c>
      <c r="C267" s="105">
        <f t="shared" si="10"/>
        <v>42614</v>
      </c>
      <c r="D267" s="105" t="s">
        <v>468</v>
      </c>
      <c r="E267" s="110">
        <v>42614</v>
      </c>
      <c r="F267" s="109" t="s">
        <v>463</v>
      </c>
      <c r="G267" s="296" t="s">
        <v>472</v>
      </c>
      <c r="H267" s="4" t="s">
        <v>396</v>
      </c>
      <c r="I267" s="133"/>
      <c r="J267" s="133"/>
      <c r="K267" s="401">
        <v>15000000</v>
      </c>
      <c r="L267" s="113" t="s">
        <v>8</v>
      </c>
      <c r="M267" s="113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563"/>
    </row>
    <row r="268" spans="1:26" ht="15.75" customHeight="1">
      <c r="A268" s="120" t="str">
        <f>IF(B268&lt;&gt;"",IF(AND(B268&gt;=_TM1,B268&lt;=_TM2,OR(TH!L268="1111",TH!M268="1111")),TH!D268,""),"")</f>
        <v/>
      </c>
      <c r="B268" s="12">
        <f t="shared" si="9"/>
        <v>9</v>
      </c>
      <c r="C268" s="105">
        <f t="shared" si="10"/>
        <v>42614</v>
      </c>
      <c r="D268" s="105" t="s">
        <v>468</v>
      </c>
      <c r="E268" s="110">
        <v>42614</v>
      </c>
      <c r="F268" s="109" t="s">
        <v>478</v>
      </c>
      <c r="G268" s="296" t="s">
        <v>472</v>
      </c>
      <c r="H268" s="4"/>
      <c r="I268" s="133"/>
      <c r="J268" s="133"/>
      <c r="K268" s="401">
        <v>20000</v>
      </c>
      <c r="L268" s="113" t="s">
        <v>82</v>
      </c>
      <c r="M268" s="113" t="s">
        <v>24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>x</v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>x</v>
      </c>
      <c r="Y268" s="22" t="str">
        <f>IF(AND(B268&lt;=NKC!$N$8,B268&gt;=NKC!$M$8),"x","")</f>
        <v>x</v>
      </c>
      <c r="Z268" s="563">
        <v>3</v>
      </c>
    </row>
    <row r="269" spans="1:26" ht="15.75" customHeight="1">
      <c r="A269" s="120" t="str">
        <f>IF(B269&lt;&gt;"",IF(AND(B269&gt;=_TM1,B269&lt;=_TM2,OR(TH!L269="1111",TH!M269="1111")),TH!D269,""),"")</f>
        <v/>
      </c>
      <c r="B269" s="12">
        <f t="shared" si="9"/>
        <v>9</v>
      </c>
      <c r="C269" s="105">
        <f t="shared" si="10"/>
        <v>42614</v>
      </c>
      <c r="D269" s="105" t="s">
        <v>468</v>
      </c>
      <c r="E269" s="110">
        <v>42614</v>
      </c>
      <c r="F269" s="109" t="s">
        <v>479</v>
      </c>
      <c r="G269" s="296" t="s">
        <v>472</v>
      </c>
      <c r="H269" s="4"/>
      <c r="I269" s="133"/>
      <c r="J269" s="133"/>
      <c r="K269" s="401">
        <v>2000</v>
      </c>
      <c r="L269" s="113" t="s">
        <v>9</v>
      </c>
      <c r="M269" s="113" t="s">
        <v>24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>x</v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563">
        <v>3</v>
      </c>
    </row>
    <row r="270" spans="1:26" ht="15.75" customHeight="1">
      <c r="A270" s="120" t="str">
        <f>IF(B270&lt;&gt;"",IF(AND(B270&gt;=_TM1,B270&lt;=_TM2,OR(TH!L270="1111",TH!M270="1111")),TH!D270,""),"")</f>
        <v/>
      </c>
      <c r="B270" s="12">
        <f t="shared" si="9"/>
        <v>9</v>
      </c>
      <c r="C270" s="105">
        <f t="shared" si="10"/>
        <v>42614</v>
      </c>
      <c r="D270" s="105" t="s">
        <v>593</v>
      </c>
      <c r="E270" s="110">
        <v>42614</v>
      </c>
      <c r="F270" s="109" t="s">
        <v>538</v>
      </c>
      <c r="G270" s="296" t="s">
        <v>740</v>
      </c>
      <c r="H270" s="4" t="s">
        <v>621</v>
      </c>
      <c r="I270" s="133">
        <v>504</v>
      </c>
      <c r="J270" s="133">
        <v>6400</v>
      </c>
      <c r="K270" s="13">
        <f>ROUND(I270*J270,0)</f>
        <v>3225600</v>
      </c>
      <c r="L270" s="113" t="s">
        <v>251</v>
      </c>
      <c r="M270" s="402" t="s">
        <v>168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563"/>
    </row>
    <row r="271" spans="1:26" ht="15.75" customHeight="1">
      <c r="A271" s="120" t="str">
        <f>IF(B271&lt;&gt;"",IF(AND(B271&gt;=_TM1,B271&lt;=_TM2,OR(TH!L271="1111",TH!M271="1111")),TH!D271,""),"")</f>
        <v/>
      </c>
      <c r="B271" s="12">
        <f t="shared" si="9"/>
        <v>9</v>
      </c>
      <c r="C271" s="105">
        <f t="shared" si="10"/>
        <v>42614</v>
      </c>
      <c r="D271" s="105" t="s">
        <v>593</v>
      </c>
      <c r="E271" s="110">
        <v>42614</v>
      </c>
      <c r="F271" s="109" t="s">
        <v>494</v>
      </c>
      <c r="G271" s="296" t="s">
        <v>740</v>
      </c>
      <c r="H271" s="4" t="s">
        <v>621</v>
      </c>
      <c r="I271" s="133"/>
      <c r="J271" s="133"/>
      <c r="K271" s="13">
        <v>322560</v>
      </c>
      <c r="L271" s="113" t="s">
        <v>251</v>
      </c>
      <c r="M271" s="402" t="s">
        <v>350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563"/>
    </row>
    <row r="272" spans="1:26" ht="15.75" customHeight="1">
      <c r="A272" s="120" t="str">
        <f>IF(B272&lt;&gt;"",IF(AND(B272&gt;=_TM1,B272&lt;=_TM2,OR(TH!L272="1111",TH!M272="1111")),TH!D272,""),"")</f>
        <v/>
      </c>
      <c r="B272" s="12">
        <f t="shared" si="9"/>
        <v>9</v>
      </c>
      <c r="C272" s="105">
        <f t="shared" si="10"/>
        <v>42614</v>
      </c>
      <c r="D272" s="105" t="s">
        <v>594</v>
      </c>
      <c r="E272" s="110">
        <v>42614</v>
      </c>
      <c r="F272" s="109" t="s">
        <v>539</v>
      </c>
      <c r="G272" s="296" t="s">
        <v>741</v>
      </c>
      <c r="H272" s="4" t="s">
        <v>369</v>
      </c>
      <c r="I272" s="133">
        <f>1330*2</f>
        <v>2660</v>
      </c>
      <c r="J272" s="133">
        <v>7350</v>
      </c>
      <c r="K272" s="13">
        <f>ROUND(I272*J272,0)</f>
        <v>19551000</v>
      </c>
      <c r="L272" s="113" t="s">
        <v>251</v>
      </c>
      <c r="M272" s="402" t="s">
        <v>168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563"/>
    </row>
    <row r="273" spans="1:26" ht="15.75" customHeight="1">
      <c r="A273" s="120" t="str">
        <f>IF(B273&lt;&gt;"",IF(AND(B273&gt;=_TM1,B273&lt;=_TM2,OR(TH!L273="1111",TH!M273="1111")),TH!D273,""),"")</f>
        <v/>
      </c>
      <c r="B273" s="12">
        <f t="shared" ref="B273:B336" si="11">IF(C273&lt;&gt;"",MONTH(C273),"")</f>
        <v>9</v>
      </c>
      <c r="C273" s="105">
        <f t="shared" si="10"/>
        <v>42614</v>
      </c>
      <c r="D273" s="105" t="s">
        <v>594</v>
      </c>
      <c r="E273" s="110">
        <v>42614</v>
      </c>
      <c r="F273" s="109" t="s">
        <v>494</v>
      </c>
      <c r="G273" s="296" t="s">
        <v>741</v>
      </c>
      <c r="H273" s="4" t="s">
        <v>369</v>
      </c>
      <c r="I273" s="133"/>
      <c r="J273" s="133"/>
      <c r="K273" s="13">
        <v>1955100</v>
      </c>
      <c r="L273" s="113" t="s">
        <v>251</v>
      </c>
      <c r="M273" s="402" t="s">
        <v>350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563"/>
    </row>
    <row r="274" spans="1:26" ht="15.75" customHeight="1">
      <c r="A274" s="120" t="str">
        <f>IF(B274&lt;&gt;"",IF(AND(B274&gt;=_TM1,B274&lt;=_TM2,OR(TH!L274="1111",TH!M274="1111")),TH!D274,""),"")</f>
        <v/>
      </c>
      <c r="B274" s="12">
        <f t="shared" si="11"/>
        <v>9</v>
      </c>
      <c r="C274" s="105">
        <f t="shared" si="10"/>
        <v>42618</v>
      </c>
      <c r="D274" s="105" t="s">
        <v>1018</v>
      </c>
      <c r="E274" s="110">
        <v>42618</v>
      </c>
      <c r="F274" s="111" t="s">
        <v>482</v>
      </c>
      <c r="G274" s="296" t="s">
        <v>1024</v>
      </c>
      <c r="H274" s="4" t="s">
        <v>364</v>
      </c>
      <c r="I274" s="133"/>
      <c r="J274" s="133"/>
      <c r="K274" s="13">
        <f>5925150+4790940+2549250</f>
        <v>13265340</v>
      </c>
      <c r="L274" s="113" t="s">
        <v>46</v>
      </c>
      <c r="M274" s="402" t="s">
        <v>251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>x</v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563"/>
    </row>
    <row r="275" spans="1:26" ht="15.75" customHeight="1">
      <c r="A275" s="120" t="str">
        <f>IF(B275&lt;&gt;"",IF(AND(B275&gt;=_TM1,B275&lt;=_TM2,OR(TH!L275="1111",TH!M275="1111")),TH!D275,""),"")</f>
        <v/>
      </c>
      <c r="B275" s="12">
        <f t="shared" si="11"/>
        <v>9</v>
      </c>
      <c r="C275" s="105">
        <f t="shared" si="10"/>
        <v>42618</v>
      </c>
      <c r="D275" s="105" t="s">
        <v>595</v>
      </c>
      <c r="E275" s="110">
        <v>42618</v>
      </c>
      <c r="F275" s="109" t="s">
        <v>649</v>
      </c>
      <c r="G275" s="296" t="s">
        <v>742</v>
      </c>
      <c r="H275" s="4" t="s">
        <v>369</v>
      </c>
      <c r="I275" s="133">
        <f>412</f>
        <v>412</v>
      </c>
      <c r="J275" s="133">
        <v>11800</v>
      </c>
      <c r="K275" s="13">
        <f>ROUND(I275*J275,0)</f>
        <v>4861600</v>
      </c>
      <c r="L275" s="113" t="s">
        <v>251</v>
      </c>
      <c r="M275" s="402" t="s">
        <v>168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563"/>
    </row>
    <row r="276" spans="1:26" ht="15.75" customHeight="1">
      <c r="A276" s="120" t="str">
        <f>IF(B276&lt;&gt;"",IF(AND(B276&gt;=_TM1,B276&lt;=_TM2,OR(TH!L276="1111",TH!M276="1111")),TH!D276,""),"")</f>
        <v/>
      </c>
      <c r="B276" s="12">
        <f t="shared" si="11"/>
        <v>9</v>
      </c>
      <c r="C276" s="105">
        <f t="shared" si="10"/>
        <v>42618</v>
      </c>
      <c r="D276" s="105" t="s">
        <v>595</v>
      </c>
      <c r="E276" s="110">
        <v>42618</v>
      </c>
      <c r="F276" s="109" t="s">
        <v>498</v>
      </c>
      <c r="G276" s="296" t="s">
        <v>742</v>
      </c>
      <c r="H276" s="4" t="s">
        <v>369</v>
      </c>
      <c r="I276" s="133">
        <f>102+51+51+102+76</f>
        <v>382</v>
      </c>
      <c r="J276" s="133">
        <v>9400</v>
      </c>
      <c r="K276" s="13">
        <f>ROUND(I276*J276,0)</f>
        <v>3590800</v>
      </c>
      <c r="L276" s="113" t="s">
        <v>251</v>
      </c>
      <c r="M276" s="402" t="s">
        <v>168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563"/>
    </row>
    <row r="277" spans="1:26" ht="15.75" customHeight="1">
      <c r="A277" s="120" t="str">
        <f>IF(B277&lt;&gt;"",IF(AND(B277&gt;=_TM1,B277&lt;=_TM2,OR(TH!L277="1111",TH!M277="1111")),TH!D277,""),"")</f>
        <v/>
      </c>
      <c r="B277" s="12">
        <f t="shared" si="11"/>
        <v>9</v>
      </c>
      <c r="C277" s="105">
        <f t="shared" si="10"/>
        <v>42618</v>
      </c>
      <c r="D277" s="105" t="s">
        <v>595</v>
      </c>
      <c r="E277" s="110">
        <v>42618</v>
      </c>
      <c r="F277" s="109" t="s">
        <v>498</v>
      </c>
      <c r="G277" s="296" t="s">
        <v>742</v>
      </c>
      <c r="H277" s="4" t="s">
        <v>369</v>
      </c>
      <c r="I277" s="133">
        <v>110</v>
      </c>
      <c r="J277" s="133">
        <v>16700</v>
      </c>
      <c r="K277" s="13">
        <f>ROUND(I277*J277,0)</f>
        <v>1837000</v>
      </c>
      <c r="L277" s="113" t="s">
        <v>251</v>
      </c>
      <c r="M277" s="402" t="s">
        <v>168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563"/>
    </row>
    <row r="278" spans="1:26" ht="15.75" customHeight="1">
      <c r="A278" s="120" t="str">
        <f>IF(B278&lt;&gt;"",IF(AND(B278&gt;=_TM1,B278&lt;=_TM2,OR(TH!L278="1111",TH!M278="1111")),TH!D278,""),"")</f>
        <v/>
      </c>
      <c r="B278" s="12">
        <f t="shared" si="11"/>
        <v>9</v>
      </c>
      <c r="C278" s="105">
        <f t="shared" si="10"/>
        <v>42618</v>
      </c>
      <c r="D278" s="105" t="s">
        <v>595</v>
      </c>
      <c r="E278" s="110">
        <v>42618</v>
      </c>
      <c r="F278" s="109" t="s">
        <v>650</v>
      </c>
      <c r="G278" s="296" t="s">
        <v>742</v>
      </c>
      <c r="H278" s="4" t="s">
        <v>369</v>
      </c>
      <c r="I278" s="133">
        <v>110</v>
      </c>
      <c r="J278" s="133">
        <v>6300</v>
      </c>
      <c r="K278" s="13">
        <f>ROUND(I278*J278,0)</f>
        <v>693000</v>
      </c>
      <c r="L278" s="113" t="s">
        <v>251</v>
      </c>
      <c r="M278" s="402" t="s">
        <v>168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563"/>
    </row>
    <row r="279" spans="1:26" ht="15.75" customHeight="1">
      <c r="A279" s="120" t="str">
        <f>IF(B279&lt;&gt;"",IF(AND(B279&gt;=_TM1,B279&lt;=_TM2,OR(TH!L279="1111",TH!M279="1111")),TH!D279,""),"")</f>
        <v/>
      </c>
      <c r="B279" s="12">
        <f t="shared" si="11"/>
        <v>9</v>
      </c>
      <c r="C279" s="105">
        <f t="shared" si="10"/>
        <v>42618</v>
      </c>
      <c r="D279" s="105" t="s">
        <v>595</v>
      </c>
      <c r="E279" s="110">
        <v>42618</v>
      </c>
      <c r="F279" s="109" t="s">
        <v>494</v>
      </c>
      <c r="G279" s="296" t="s">
        <v>742</v>
      </c>
      <c r="H279" s="4" t="s">
        <v>369</v>
      </c>
      <c r="I279" s="133"/>
      <c r="J279" s="133"/>
      <c r="K279" s="13">
        <v>1098240</v>
      </c>
      <c r="L279" s="113" t="s">
        <v>251</v>
      </c>
      <c r="M279" s="402" t="s">
        <v>350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563"/>
    </row>
    <row r="280" spans="1:26" ht="15.75" customHeight="1">
      <c r="A280" s="120" t="str">
        <f>IF(B280&lt;&gt;"",IF(AND(B280&gt;=_TM1,B280&lt;=_TM2,OR(TH!L280="1111",TH!M280="1111")),TH!D280,""),"")</f>
        <v/>
      </c>
      <c r="B280" s="12">
        <f t="shared" si="11"/>
        <v>9</v>
      </c>
      <c r="C280" s="105">
        <f t="shared" si="10"/>
        <v>42618</v>
      </c>
      <c r="D280" s="105" t="s">
        <v>596</v>
      </c>
      <c r="E280" s="110">
        <v>42618</v>
      </c>
      <c r="F280" s="109" t="s">
        <v>651</v>
      </c>
      <c r="G280" s="296" t="s">
        <v>743</v>
      </c>
      <c r="H280" s="4" t="s">
        <v>369</v>
      </c>
      <c r="I280" s="133">
        <f>13+13+13+13+13</f>
        <v>65</v>
      </c>
      <c r="J280" s="133">
        <v>15600</v>
      </c>
      <c r="K280" s="13">
        <f>ROUND(I280*J280,0)</f>
        <v>1014000</v>
      </c>
      <c r="L280" s="113" t="s">
        <v>251</v>
      </c>
      <c r="M280" s="402" t="s">
        <v>168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563"/>
    </row>
    <row r="281" spans="1:26" ht="15.75" customHeight="1">
      <c r="A281" s="120" t="str">
        <f>IF(B281&lt;&gt;"",IF(AND(B281&gt;=_TM1,B281&lt;=_TM2,OR(TH!L281="1111",TH!M281="1111")),TH!D281,""),"")</f>
        <v/>
      </c>
      <c r="B281" s="12">
        <f t="shared" si="11"/>
        <v>9</v>
      </c>
      <c r="C281" s="105">
        <f t="shared" si="10"/>
        <v>42618</v>
      </c>
      <c r="D281" s="105" t="s">
        <v>596</v>
      </c>
      <c r="E281" s="110">
        <v>42618</v>
      </c>
      <c r="F281" s="109" t="s">
        <v>652</v>
      </c>
      <c r="G281" s="296" t="s">
        <v>743</v>
      </c>
      <c r="H281" s="4" t="s">
        <v>369</v>
      </c>
      <c r="I281" s="133">
        <f>580+337</f>
        <v>917</v>
      </c>
      <c r="J281" s="133">
        <v>7900</v>
      </c>
      <c r="K281" s="13">
        <f>ROUND(I281*J281,0)</f>
        <v>7244300</v>
      </c>
      <c r="L281" s="113" t="s">
        <v>251</v>
      </c>
      <c r="M281" s="402" t="s">
        <v>168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563"/>
    </row>
    <row r="282" spans="1:26" ht="15.75" customHeight="1">
      <c r="A282" s="120" t="str">
        <f>IF(B282&lt;&gt;"",IF(AND(B282&gt;=_TM1,B282&lt;=_TM2,OR(TH!L282="1111",TH!M282="1111")),TH!D282,""),"")</f>
        <v/>
      </c>
      <c r="B282" s="12">
        <f t="shared" si="11"/>
        <v>9</v>
      </c>
      <c r="C282" s="105">
        <f t="shared" si="10"/>
        <v>42618</v>
      </c>
      <c r="D282" s="105" t="s">
        <v>596</v>
      </c>
      <c r="E282" s="110">
        <v>42618</v>
      </c>
      <c r="F282" s="109" t="s">
        <v>498</v>
      </c>
      <c r="G282" s="296" t="s">
        <v>743</v>
      </c>
      <c r="H282" s="4" t="s">
        <v>369</v>
      </c>
      <c r="I282" s="133">
        <v>72</v>
      </c>
      <c r="J282" s="133">
        <v>9400</v>
      </c>
      <c r="K282" s="13">
        <f>ROUND(I282*J282,0)</f>
        <v>676800</v>
      </c>
      <c r="L282" s="113" t="s">
        <v>251</v>
      </c>
      <c r="M282" s="402" t="s">
        <v>168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563"/>
    </row>
    <row r="283" spans="1:26" ht="15.75" customHeight="1">
      <c r="A283" s="120" t="str">
        <f>IF(B283&lt;&gt;"",IF(AND(B283&gt;=_TM1,B283&lt;=_TM2,OR(TH!L283="1111",TH!M283="1111")),TH!D283,""),"")</f>
        <v/>
      </c>
      <c r="B283" s="12">
        <f t="shared" si="11"/>
        <v>9</v>
      </c>
      <c r="C283" s="105">
        <f t="shared" si="10"/>
        <v>42618</v>
      </c>
      <c r="D283" s="105" t="s">
        <v>596</v>
      </c>
      <c r="E283" s="110">
        <v>42618</v>
      </c>
      <c r="F283" s="109" t="s">
        <v>494</v>
      </c>
      <c r="G283" s="296" t="s">
        <v>743</v>
      </c>
      <c r="H283" s="4" t="s">
        <v>369</v>
      </c>
      <c r="I283" s="133"/>
      <c r="J283" s="133"/>
      <c r="K283" s="13">
        <v>893510</v>
      </c>
      <c r="L283" s="113" t="s">
        <v>251</v>
      </c>
      <c r="M283" s="402" t="s">
        <v>350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563"/>
    </row>
    <row r="284" spans="1:26" ht="15.75" customHeight="1">
      <c r="A284" s="120" t="str">
        <f>IF(B284&lt;&gt;"",IF(AND(B284&gt;=_TM1,B284&lt;=_TM2,OR(TH!L284="1111",TH!M284="1111")),TH!D284,""),"")</f>
        <v/>
      </c>
      <c r="B284" s="12">
        <f t="shared" si="11"/>
        <v>9</v>
      </c>
      <c r="C284" s="105">
        <f t="shared" si="10"/>
        <v>42619</v>
      </c>
      <c r="D284" s="105" t="s">
        <v>1032</v>
      </c>
      <c r="E284" s="110">
        <v>42619</v>
      </c>
      <c r="F284" s="111" t="s">
        <v>482</v>
      </c>
      <c r="G284" s="296" t="s">
        <v>1022</v>
      </c>
      <c r="H284" s="4" t="s">
        <v>616</v>
      </c>
      <c r="I284" s="133"/>
      <c r="J284" s="133"/>
      <c r="K284" s="13">
        <f>1429120+1825340+2347950</f>
        <v>5602410</v>
      </c>
      <c r="L284" s="113" t="s">
        <v>46</v>
      </c>
      <c r="M284" s="402" t="s">
        <v>251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>x</v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563"/>
    </row>
    <row r="285" spans="1:26" ht="15.75" customHeight="1">
      <c r="A285" s="120" t="str">
        <f>IF(B285&lt;&gt;"",IF(AND(B285&gt;=_TM1,B285&lt;=_TM2,OR(TH!L285="1111",TH!M285="1111")),TH!D285,""),"")</f>
        <v/>
      </c>
      <c r="B285" s="12">
        <f t="shared" si="11"/>
        <v>9</v>
      </c>
      <c r="C285" s="105">
        <f t="shared" si="10"/>
        <v>42619</v>
      </c>
      <c r="D285" s="105" t="s">
        <v>597</v>
      </c>
      <c r="E285" s="110">
        <v>42619</v>
      </c>
      <c r="F285" s="109" t="s">
        <v>508</v>
      </c>
      <c r="G285" s="296" t="s">
        <v>744</v>
      </c>
      <c r="H285" s="4" t="s">
        <v>688</v>
      </c>
      <c r="I285" s="133">
        <f>523+513</f>
        <v>1036</v>
      </c>
      <c r="J285" s="133">
        <v>5900</v>
      </c>
      <c r="K285" s="13">
        <f>ROUND(I285*J285,0)</f>
        <v>6112400</v>
      </c>
      <c r="L285" s="113" t="s">
        <v>251</v>
      </c>
      <c r="M285" s="402" t="s">
        <v>168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563"/>
    </row>
    <row r="286" spans="1:26" ht="15.75" customHeight="1">
      <c r="A286" s="120" t="str">
        <f>IF(B286&lt;&gt;"",IF(AND(B286&gt;=_TM1,B286&lt;=_TM2,OR(TH!L286="1111",TH!M286="1111")),TH!D286,""),"")</f>
        <v/>
      </c>
      <c r="B286" s="12">
        <f t="shared" si="11"/>
        <v>9</v>
      </c>
      <c r="C286" s="105">
        <f t="shared" si="10"/>
        <v>42619</v>
      </c>
      <c r="D286" s="105" t="s">
        <v>597</v>
      </c>
      <c r="E286" s="110">
        <v>42619</v>
      </c>
      <c r="F286" s="109" t="s">
        <v>494</v>
      </c>
      <c r="G286" s="296" t="s">
        <v>744</v>
      </c>
      <c r="H286" s="4" t="s">
        <v>688</v>
      </c>
      <c r="I286" s="133"/>
      <c r="J286" s="133"/>
      <c r="K286" s="13">
        <v>611240</v>
      </c>
      <c r="L286" s="113" t="s">
        <v>251</v>
      </c>
      <c r="M286" s="402" t="s">
        <v>350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563"/>
    </row>
    <row r="287" spans="1:26" ht="15.75" customHeight="1">
      <c r="A287" s="120" t="str">
        <f>IF(B287&lt;&gt;"",IF(AND(B287&gt;=_TM1,B287&lt;=_TM2,OR(TH!L287="1111",TH!M287="1111")),TH!D287,""),"")</f>
        <v/>
      </c>
      <c r="B287" s="12">
        <f t="shared" si="11"/>
        <v>9</v>
      </c>
      <c r="C287" s="105">
        <f t="shared" si="10"/>
        <v>42619</v>
      </c>
      <c r="D287" s="105" t="s">
        <v>598</v>
      </c>
      <c r="E287" s="110">
        <v>42619</v>
      </c>
      <c r="F287" s="109" t="s">
        <v>530</v>
      </c>
      <c r="G287" s="296" t="s">
        <v>745</v>
      </c>
      <c r="H287" s="4" t="s">
        <v>615</v>
      </c>
      <c r="I287" s="133">
        <v>212</v>
      </c>
      <c r="J287" s="133">
        <v>9300</v>
      </c>
      <c r="K287" s="13">
        <f>ROUND(I287*J287,0)</f>
        <v>1971600</v>
      </c>
      <c r="L287" s="113" t="s">
        <v>251</v>
      </c>
      <c r="M287" s="402" t="s">
        <v>168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563"/>
    </row>
    <row r="288" spans="1:26" ht="15.75" customHeight="1">
      <c r="A288" s="120" t="str">
        <f>IF(B288&lt;&gt;"",IF(AND(B288&gt;=_TM1,B288&lt;=_TM2,OR(TH!L288="1111",TH!M288="1111")),TH!D288,""),"")</f>
        <v/>
      </c>
      <c r="B288" s="12">
        <f t="shared" si="11"/>
        <v>9</v>
      </c>
      <c r="C288" s="105">
        <f t="shared" si="10"/>
        <v>42619</v>
      </c>
      <c r="D288" s="105" t="s">
        <v>598</v>
      </c>
      <c r="E288" s="110">
        <v>42619</v>
      </c>
      <c r="F288" s="109" t="s">
        <v>540</v>
      </c>
      <c r="G288" s="296" t="s">
        <v>745</v>
      </c>
      <c r="H288" s="4" t="s">
        <v>615</v>
      </c>
      <c r="I288" s="133"/>
      <c r="J288" s="133"/>
      <c r="K288" s="13">
        <v>197160</v>
      </c>
      <c r="L288" s="113" t="s">
        <v>251</v>
      </c>
      <c r="M288" s="402" t="s">
        <v>350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563"/>
    </row>
    <row r="289" spans="1:26" ht="15.75" customHeight="1">
      <c r="A289" s="120" t="str">
        <f>IF(B289&lt;&gt;"",IF(AND(B289&gt;=_TM1,B289&lt;=_TM2,OR(TH!L289="1111",TH!M289="1111")),TH!D289,""),"")</f>
        <v/>
      </c>
      <c r="B289" s="12">
        <f t="shared" si="11"/>
        <v>9</v>
      </c>
      <c r="C289" s="105">
        <f t="shared" si="10"/>
        <v>42619</v>
      </c>
      <c r="D289" s="105" t="s">
        <v>1033</v>
      </c>
      <c r="E289" s="110">
        <v>42619</v>
      </c>
      <c r="F289" s="111" t="s">
        <v>482</v>
      </c>
      <c r="G289" s="296" t="s">
        <v>745</v>
      </c>
      <c r="H289" s="4" t="s">
        <v>615</v>
      </c>
      <c r="I289" s="133"/>
      <c r="J289" s="133"/>
      <c r="K289" s="13">
        <v>2168760</v>
      </c>
      <c r="L289" s="113" t="s">
        <v>46</v>
      </c>
      <c r="M289" s="402" t="s">
        <v>251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>x</v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563"/>
    </row>
    <row r="290" spans="1:26" ht="15.75" customHeight="1">
      <c r="A290" s="120" t="str">
        <f>IF(B290&lt;&gt;"",IF(AND(B290&gt;=_TM1,B290&lt;=_TM2,OR(TH!L290="1111",TH!M290="1111")),TH!D290,""),"")</f>
        <v/>
      </c>
      <c r="B290" s="12">
        <f t="shared" si="11"/>
        <v>9</v>
      </c>
      <c r="C290" s="105">
        <f t="shared" si="10"/>
        <v>42619</v>
      </c>
      <c r="D290" s="105" t="s">
        <v>599</v>
      </c>
      <c r="E290" s="110">
        <v>42619</v>
      </c>
      <c r="F290" s="109" t="s">
        <v>662</v>
      </c>
      <c r="G290" s="296" t="s">
        <v>746</v>
      </c>
      <c r="H290" s="4" t="s">
        <v>616</v>
      </c>
      <c r="I290" s="133">
        <v>212</v>
      </c>
      <c r="J290" s="133">
        <v>9400</v>
      </c>
      <c r="K290" s="13">
        <f>ROUND(I290*J290,0)</f>
        <v>1992800</v>
      </c>
      <c r="L290" s="113" t="s">
        <v>251</v>
      </c>
      <c r="M290" s="402" t="s">
        <v>168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563"/>
    </row>
    <row r="291" spans="1:26" ht="15.75" customHeight="1">
      <c r="A291" s="120" t="str">
        <f>IF(B291&lt;&gt;"",IF(AND(B291&gt;=_TM1,B291&lt;=_TM2,OR(TH!L291="1111",TH!M291="1111")),TH!D291,""),"")</f>
        <v/>
      </c>
      <c r="B291" s="12">
        <f t="shared" si="11"/>
        <v>9</v>
      </c>
      <c r="C291" s="105">
        <f t="shared" si="10"/>
        <v>42619</v>
      </c>
      <c r="D291" s="105" t="s">
        <v>599</v>
      </c>
      <c r="E291" s="110">
        <v>42619</v>
      </c>
      <c r="F291" s="109" t="s">
        <v>494</v>
      </c>
      <c r="G291" s="296" t="s">
        <v>746</v>
      </c>
      <c r="H291" s="4" t="s">
        <v>616</v>
      </c>
      <c r="I291" s="133"/>
      <c r="J291" s="133"/>
      <c r="K291" s="13">
        <v>199280</v>
      </c>
      <c r="L291" s="113" t="s">
        <v>251</v>
      </c>
      <c r="M291" s="402" t="s">
        <v>350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563"/>
    </row>
    <row r="292" spans="1:26" ht="15.75" customHeight="1">
      <c r="A292" s="120" t="str">
        <f>IF(B292&lt;&gt;"",IF(AND(B292&gt;=_TM1,B292&lt;=_TM2,OR(TH!L292="1111",TH!M292="1111")),TH!D292,""),"")</f>
        <v/>
      </c>
      <c r="B292" s="12">
        <f t="shared" si="11"/>
        <v>9</v>
      </c>
      <c r="C292" s="105">
        <f t="shared" si="10"/>
        <v>42619</v>
      </c>
      <c r="D292" s="105" t="s">
        <v>600</v>
      </c>
      <c r="E292" s="110">
        <v>42619</v>
      </c>
      <c r="F292" s="109" t="s">
        <v>530</v>
      </c>
      <c r="G292" s="296" t="s">
        <v>747</v>
      </c>
      <c r="H292" s="4" t="s">
        <v>549</v>
      </c>
      <c r="I292" s="133">
        <f>65+62+55+65</f>
        <v>247</v>
      </c>
      <c r="J292" s="133">
        <v>10200</v>
      </c>
      <c r="K292" s="13">
        <f>ROUND(I292*J292,0)</f>
        <v>2519400</v>
      </c>
      <c r="L292" s="113" t="s">
        <v>251</v>
      </c>
      <c r="M292" s="402" t="s">
        <v>168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563"/>
    </row>
    <row r="293" spans="1:26" ht="15.75" customHeight="1">
      <c r="A293" s="120" t="str">
        <f>IF(B293&lt;&gt;"",IF(AND(B293&gt;=_TM1,B293&lt;=_TM2,OR(TH!L293="1111",TH!M293="1111")),TH!D293,""),"")</f>
        <v/>
      </c>
      <c r="B293" s="12">
        <f t="shared" si="11"/>
        <v>9</v>
      </c>
      <c r="C293" s="105">
        <f t="shared" si="10"/>
        <v>42619</v>
      </c>
      <c r="D293" s="105" t="s">
        <v>600</v>
      </c>
      <c r="E293" s="110">
        <v>42619</v>
      </c>
      <c r="F293" s="109" t="s">
        <v>540</v>
      </c>
      <c r="G293" s="296" t="s">
        <v>747</v>
      </c>
      <c r="H293" s="4" t="s">
        <v>549</v>
      </c>
      <c r="I293" s="133"/>
      <c r="J293" s="133"/>
      <c r="K293" s="13">
        <v>251940</v>
      </c>
      <c r="L293" s="113" t="s">
        <v>251</v>
      </c>
      <c r="M293" s="402" t="s">
        <v>350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563"/>
    </row>
    <row r="294" spans="1:26" ht="15.75" customHeight="1">
      <c r="A294" s="120" t="str">
        <f>IF(B294&lt;&gt;"",IF(AND(B294&gt;=_TM1,B294&lt;=_TM2,OR(TH!L294="1111",TH!M294="1111")),TH!D294,""),"")</f>
        <v/>
      </c>
      <c r="B294" s="12">
        <f t="shared" si="11"/>
        <v>9</v>
      </c>
      <c r="C294" s="105">
        <f t="shared" si="10"/>
        <v>42619</v>
      </c>
      <c r="D294" s="105" t="s">
        <v>1034</v>
      </c>
      <c r="E294" s="110">
        <v>42619</v>
      </c>
      <c r="F294" s="111" t="s">
        <v>482</v>
      </c>
      <c r="G294" s="296" t="s">
        <v>747</v>
      </c>
      <c r="H294" s="4" t="s">
        <v>549</v>
      </c>
      <c r="I294" s="133"/>
      <c r="J294" s="133"/>
      <c r="K294" s="13">
        <v>2771340</v>
      </c>
      <c r="L294" s="113" t="s">
        <v>46</v>
      </c>
      <c r="M294" s="402" t="s">
        <v>251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>x</v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563"/>
    </row>
    <row r="295" spans="1:26" ht="15.75" customHeight="1">
      <c r="A295" s="120" t="str">
        <f>IF(B295&lt;&gt;"",IF(AND(B295&gt;=_TM1,B295&lt;=_TM2,OR(TH!L295="1111",TH!M295="1111")),TH!D295,""),"")</f>
        <v/>
      </c>
      <c r="B295" s="12">
        <f t="shared" si="11"/>
        <v>9</v>
      </c>
      <c r="C295" s="105">
        <f t="shared" si="10"/>
        <v>42620</v>
      </c>
      <c r="D295" s="110" t="s">
        <v>1006</v>
      </c>
      <c r="E295" s="105">
        <v>42620</v>
      </c>
      <c r="F295" s="109" t="s">
        <v>409</v>
      </c>
      <c r="G295" s="296" t="s">
        <v>427</v>
      </c>
      <c r="H295" s="112" t="s">
        <v>426</v>
      </c>
      <c r="I295" s="133"/>
      <c r="J295" s="133"/>
      <c r="K295" s="401">
        <v>5638527</v>
      </c>
      <c r="L295" s="402" t="s">
        <v>253</v>
      </c>
      <c r="M295" s="402" t="s">
        <v>46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>x</v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563">
        <v>3</v>
      </c>
    </row>
    <row r="296" spans="1:26" ht="15.75" customHeight="1">
      <c r="A296" s="120" t="str">
        <f>IF(B296&lt;&gt;"",IF(AND(B296&gt;=_TM1,B296&lt;=_TM2,OR(TH!L296="1111",TH!M296="1111")),TH!D296,""),"")</f>
        <v/>
      </c>
      <c r="B296" s="12">
        <f t="shared" si="11"/>
        <v>9</v>
      </c>
      <c r="C296" s="105">
        <f t="shared" ref="C296:C359" si="12">E296</f>
        <v>42620</v>
      </c>
      <c r="D296" s="110" t="s">
        <v>1006</v>
      </c>
      <c r="E296" s="105">
        <v>42620</v>
      </c>
      <c r="F296" s="109" t="s">
        <v>410</v>
      </c>
      <c r="G296" s="296" t="s">
        <v>427</v>
      </c>
      <c r="H296" s="112" t="s">
        <v>426</v>
      </c>
      <c r="I296" s="133"/>
      <c r="J296" s="133"/>
      <c r="K296" s="401">
        <v>563853</v>
      </c>
      <c r="L296" s="402" t="s">
        <v>9</v>
      </c>
      <c r="M296" s="402" t="s">
        <v>46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>x</v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563">
        <v>3</v>
      </c>
    </row>
    <row r="297" spans="1:26" ht="15.75" customHeight="1">
      <c r="A297" s="120" t="str">
        <f>IF(B297&lt;&gt;"",IF(AND(B297&gt;=_TM1,B297&lt;=_TM2,OR(TH!L297="1111",TH!M297="1111")),TH!D297,""),"")</f>
        <v/>
      </c>
      <c r="B297" s="12">
        <f t="shared" si="11"/>
        <v>9</v>
      </c>
      <c r="C297" s="105">
        <f t="shared" si="12"/>
        <v>42620</v>
      </c>
      <c r="D297" s="105" t="s">
        <v>601</v>
      </c>
      <c r="E297" s="110">
        <v>42620</v>
      </c>
      <c r="F297" s="109" t="s">
        <v>527</v>
      </c>
      <c r="G297" s="296" t="s">
        <v>748</v>
      </c>
      <c r="H297" s="4" t="s">
        <v>367</v>
      </c>
      <c r="I297" s="133">
        <v>60</v>
      </c>
      <c r="J297" s="133">
        <v>47449</v>
      </c>
      <c r="K297" s="13">
        <f>ROUND(I297*J297,0)</f>
        <v>2846940</v>
      </c>
      <c r="L297" s="113" t="s">
        <v>251</v>
      </c>
      <c r="M297" s="402" t="s">
        <v>168</v>
      </c>
      <c r="N297" s="22" t="str">
        <f>IF(AND('331-CT'!$E$7=TH!H297,OR(L297="331",M297="331")),"331",IF(AND(OR(L297="131",M297="131"),H297='131-CT'!$E$7),"131",""))</f>
        <v>131</v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563"/>
    </row>
    <row r="298" spans="1:26" ht="15.75" customHeight="1">
      <c r="A298" s="120" t="str">
        <f>IF(B298&lt;&gt;"",IF(AND(B298&gt;=_TM1,B298&lt;=_TM2,OR(TH!L298="1111",TH!M298="1111")),TH!D298,""),"")</f>
        <v/>
      </c>
      <c r="B298" s="12">
        <f t="shared" si="11"/>
        <v>9</v>
      </c>
      <c r="C298" s="105">
        <f t="shared" si="12"/>
        <v>42620</v>
      </c>
      <c r="D298" s="105" t="s">
        <v>601</v>
      </c>
      <c r="E298" s="110">
        <v>42620</v>
      </c>
      <c r="F298" s="109" t="s">
        <v>664</v>
      </c>
      <c r="G298" s="296" t="s">
        <v>748</v>
      </c>
      <c r="H298" s="4" t="s">
        <v>367</v>
      </c>
      <c r="I298" s="133">
        <v>20</v>
      </c>
      <c r="J298" s="133">
        <v>54530</v>
      </c>
      <c r="K298" s="13">
        <f>ROUND(I298*J298,0)</f>
        <v>1090600</v>
      </c>
      <c r="L298" s="113" t="s">
        <v>251</v>
      </c>
      <c r="M298" s="402" t="s">
        <v>168</v>
      </c>
      <c r="N298" s="22" t="str">
        <f>IF(AND('331-CT'!$E$7=TH!H298,OR(L298="331",M298="331")),"331",IF(AND(OR(L298="131",M298="131"),H298='131-CT'!$E$7),"131",""))</f>
        <v>131</v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563"/>
    </row>
    <row r="299" spans="1:26" ht="15.75" customHeight="1">
      <c r="A299" s="120" t="str">
        <f>IF(B299&lt;&gt;"",IF(AND(B299&gt;=_TM1,B299&lt;=_TM2,OR(TH!L299="1111",TH!M299="1111")),TH!D299,""),"")</f>
        <v/>
      </c>
      <c r="B299" s="12">
        <f t="shared" si="11"/>
        <v>9</v>
      </c>
      <c r="C299" s="105">
        <f t="shared" si="12"/>
        <v>42620</v>
      </c>
      <c r="D299" s="105" t="s">
        <v>601</v>
      </c>
      <c r="E299" s="110">
        <v>42620</v>
      </c>
      <c r="F299" s="109" t="s">
        <v>494</v>
      </c>
      <c r="G299" s="296" t="s">
        <v>748</v>
      </c>
      <c r="H299" s="4" t="s">
        <v>367</v>
      </c>
      <c r="I299" s="133"/>
      <c r="J299" s="133"/>
      <c r="K299" s="13">
        <v>393754</v>
      </c>
      <c r="L299" s="113" t="s">
        <v>251</v>
      </c>
      <c r="M299" s="402" t="s">
        <v>350</v>
      </c>
      <c r="N299" s="22" t="str">
        <f>IF(AND('331-CT'!$E$7=TH!H299,OR(L299="331",M299="331")),"331",IF(AND(OR(L299="131",M299="131"),H299='131-CT'!$E$7),"131",""))</f>
        <v>131</v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563"/>
    </row>
    <row r="300" spans="1:26" ht="15.75" customHeight="1">
      <c r="A300" s="120" t="str">
        <f>IF(B300&lt;&gt;"",IF(AND(B300&gt;=_TM1,B300&lt;=_TM2,OR(TH!L300="1111",TH!M300="1111")),TH!D300,""),"")</f>
        <v/>
      </c>
      <c r="B300" s="12">
        <f t="shared" si="11"/>
        <v>9</v>
      </c>
      <c r="C300" s="105">
        <f t="shared" si="12"/>
        <v>42620</v>
      </c>
      <c r="D300" s="105" t="s">
        <v>1034</v>
      </c>
      <c r="E300" s="110">
        <v>42620</v>
      </c>
      <c r="F300" s="111" t="s">
        <v>482</v>
      </c>
      <c r="G300" s="296" t="s">
        <v>748</v>
      </c>
      <c r="H300" s="4" t="s">
        <v>367</v>
      </c>
      <c r="I300" s="133"/>
      <c r="J300" s="133"/>
      <c r="K300" s="13">
        <v>4331294</v>
      </c>
      <c r="L300" s="113" t="s">
        <v>46</v>
      </c>
      <c r="M300" s="402" t="s">
        <v>251</v>
      </c>
      <c r="N300" s="22" t="str">
        <f>IF(AND('331-CT'!$E$7=TH!H300,OR(L300="331",M300="331")),"331",IF(AND(OR(L300="131",M300="131"),H300='131-CT'!$E$7),"131",""))</f>
        <v>131</v>
      </c>
      <c r="O300" s="22" t="str">
        <f>IF(AND($B300&gt;='111'!$N$11,$B300&lt;='111'!$O$11,OR($L300=$O$7,$M300=$O$7)),"x","")</f>
        <v/>
      </c>
      <c r="P300" s="22" t="str">
        <f>IF(AND($L300=$O$7,$B300&lt;'111'!$N$11),"x","")</f>
        <v>x</v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563"/>
    </row>
    <row r="301" spans="1:26" ht="15.75" customHeight="1">
      <c r="A301" s="120" t="str">
        <f>IF(B301&lt;&gt;"",IF(AND(B301&gt;=_TM1,B301&lt;=_TM2,OR(TH!L301="1111",TH!M301="1111")),TH!D301,""),"")</f>
        <v/>
      </c>
      <c r="B301" s="12">
        <f t="shared" si="11"/>
        <v>9</v>
      </c>
      <c r="C301" s="105">
        <f t="shared" si="12"/>
        <v>42621</v>
      </c>
      <c r="D301" s="105" t="s">
        <v>602</v>
      </c>
      <c r="E301" s="110">
        <v>42621</v>
      </c>
      <c r="F301" s="109" t="s">
        <v>541</v>
      </c>
      <c r="G301" s="296" t="s">
        <v>749</v>
      </c>
      <c r="H301" s="4" t="s">
        <v>620</v>
      </c>
      <c r="I301" s="133">
        <v>1027</v>
      </c>
      <c r="J301" s="133">
        <v>6700</v>
      </c>
      <c r="K301" s="13">
        <f>ROUND(I301*J301,0)</f>
        <v>6880900</v>
      </c>
      <c r="L301" s="113" t="s">
        <v>251</v>
      </c>
      <c r="M301" s="402" t="s">
        <v>168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563"/>
    </row>
    <row r="302" spans="1:26" ht="15.75" customHeight="1">
      <c r="A302" s="120" t="str">
        <f>IF(B302&lt;&gt;"",IF(AND(B302&gt;=_TM1,B302&lt;=_TM2,OR(TH!L302="1111",TH!M302="1111")),TH!D302,""),"")</f>
        <v/>
      </c>
      <c r="B302" s="12">
        <f t="shared" si="11"/>
        <v>9</v>
      </c>
      <c r="C302" s="105">
        <f t="shared" si="12"/>
        <v>42621</v>
      </c>
      <c r="D302" s="105" t="s">
        <v>602</v>
      </c>
      <c r="E302" s="110">
        <v>42621</v>
      </c>
      <c r="F302" s="109" t="s">
        <v>494</v>
      </c>
      <c r="G302" s="296" t="s">
        <v>749</v>
      </c>
      <c r="H302" s="4" t="s">
        <v>620</v>
      </c>
      <c r="I302" s="133"/>
      <c r="J302" s="133"/>
      <c r="K302" s="13">
        <v>688090</v>
      </c>
      <c r="L302" s="113" t="s">
        <v>251</v>
      </c>
      <c r="M302" s="402" t="s">
        <v>350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563"/>
    </row>
    <row r="303" spans="1:26" ht="15.75" customHeight="1">
      <c r="A303" s="120" t="str">
        <f>IF(B303&lt;&gt;"",IF(AND(B303&gt;=_TM1,B303&lt;=_TM2,OR(TH!L303="1111",TH!M303="1111")),TH!D303,""),"")</f>
        <v/>
      </c>
      <c r="B303" s="12">
        <f t="shared" si="11"/>
        <v>9</v>
      </c>
      <c r="C303" s="105">
        <f t="shared" si="12"/>
        <v>42621</v>
      </c>
      <c r="D303" s="105" t="s">
        <v>1035</v>
      </c>
      <c r="E303" s="110">
        <v>42621</v>
      </c>
      <c r="F303" s="111" t="s">
        <v>482</v>
      </c>
      <c r="G303" s="296" t="s">
        <v>749</v>
      </c>
      <c r="H303" s="4" t="s">
        <v>620</v>
      </c>
      <c r="I303" s="133"/>
      <c r="J303" s="133"/>
      <c r="K303" s="13">
        <v>7568990</v>
      </c>
      <c r="L303" s="113" t="s">
        <v>46</v>
      </c>
      <c r="M303" s="402" t="s">
        <v>251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>x</v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563"/>
    </row>
    <row r="304" spans="1:26" ht="15.75" customHeight="1">
      <c r="A304" s="120" t="str">
        <f>IF(B304&lt;&gt;"",IF(AND(B304&gt;=_TM1,B304&lt;=_TM2,OR(TH!L304="1111",TH!M304="1111")),TH!D304,""),"")</f>
        <v/>
      </c>
      <c r="B304" s="12">
        <f t="shared" si="11"/>
        <v>9</v>
      </c>
      <c r="C304" s="105">
        <f t="shared" si="12"/>
        <v>42621</v>
      </c>
      <c r="D304" s="105" t="s">
        <v>603</v>
      </c>
      <c r="E304" s="110">
        <v>42621</v>
      </c>
      <c r="F304" s="109" t="s">
        <v>644</v>
      </c>
      <c r="G304" s="296" t="s">
        <v>750</v>
      </c>
      <c r="H304" s="4" t="s">
        <v>370</v>
      </c>
      <c r="I304" s="133">
        <v>300</v>
      </c>
      <c r="J304" s="133">
        <v>12400</v>
      </c>
      <c r="K304" s="13">
        <f>ROUND(I304*J304,0)</f>
        <v>3720000</v>
      </c>
      <c r="L304" s="113" t="s">
        <v>251</v>
      </c>
      <c r="M304" s="402" t="s">
        <v>168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563"/>
    </row>
    <row r="305" spans="1:26" ht="15.75" customHeight="1">
      <c r="A305" s="120" t="str">
        <f>IF(B305&lt;&gt;"",IF(AND(B305&gt;=_TM1,B305&lt;=_TM2,OR(TH!L305="1111",TH!M305="1111")),TH!D305,""),"")</f>
        <v/>
      </c>
      <c r="B305" s="12">
        <f t="shared" si="11"/>
        <v>9</v>
      </c>
      <c r="C305" s="105">
        <f t="shared" si="12"/>
        <v>42621</v>
      </c>
      <c r="D305" s="105" t="s">
        <v>603</v>
      </c>
      <c r="E305" s="110">
        <v>42621</v>
      </c>
      <c r="F305" s="109" t="s">
        <v>645</v>
      </c>
      <c r="G305" s="296" t="s">
        <v>750</v>
      </c>
      <c r="H305" s="4" t="s">
        <v>370</v>
      </c>
      <c r="I305" s="133">
        <v>300</v>
      </c>
      <c r="J305" s="133">
        <v>14200</v>
      </c>
      <c r="K305" s="13">
        <f>ROUND(I305*J305,0)</f>
        <v>4260000</v>
      </c>
      <c r="L305" s="113" t="s">
        <v>251</v>
      </c>
      <c r="M305" s="402" t="s">
        <v>168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563"/>
    </row>
    <row r="306" spans="1:26" ht="15.75" customHeight="1">
      <c r="A306" s="120" t="str">
        <f>IF(B306&lt;&gt;"",IF(AND(B306&gt;=_TM1,B306&lt;=_TM2,OR(TH!L306="1111",TH!M306="1111")),TH!D306,""),"")</f>
        <v/>
      </c>
      <c r="B306" s="12">
        <f t="shared" si="11"/>
        <v>9</v>
      </c>
      <c r="C306" s="105">
        <f t="shared" si="12"/>
        <v>42621</v>
      </c>
      <c r="D306" s="105" t="s">
        <v>603</v>
      </c>
      <c r="E306" s="110">
        <v>42621</v>
      </c>
      <c r="F306" s="109" t="s">
        <v>648</v>
      </c>
      <c r="G306" s="296" t="s">
        <v>750</v>
      </c>
      <c r="H306" s="4" t="s">
        <v>370</v>
      </c>
      <c r="I306" s="133">
        <v>300</v>
      </c>
      <c r="J306" s="133">
        <v>15300</v>
      </c>
      <c r="K306" s="13">
        <f>ROUND(I306*J306,0)</f>
        <v>4590000</v>
      </c>
      <c r="L306" s="113" t="s">
        <v>251</v>
      </c>
      <c r="M306" s="402" t="s">
        <v>168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563"/>
    </row>
    <row r="307" spans="1:26" ht="15.75" customHeight="1">
      <c r="A307" s="120" t="str">
        <f>IF(B307&lt;&gt;"",IF(AND(B307&gt;=_TM1,B307&lt;=_TM2,OR(TH!L307="1111",TH!M307="1111")),TH!D307,""),"")</f>
        <v/>
      </c>
      <c r="B307" s="12">
        <f t="shared" si="11"/>
        <v>9</v>
      </c>
      <c r="C307" s="105">
        <f t="shared" si="12"/>
        <v>42621</v>
      </c>
      <c r="D307" s="105" t="s">
        <v>603</v>
      </c>
      <c r="E307" s="110">
        <v>42621</v>
      </c>
      <c r="F307" s="109" t="s">
        <v>646</v>
      </c>
      <c r="G307" s="296" t="s">
        <v>750</v>
      </c>
      <c r="H307" s="4" t="s">
        <v>370</v>
      </c>
      <c r="I307" s="133">
        <v>300</v>
      </c>
      <c r="J307" s="133">
        <v>16500</v>
      </c>
      <c r="K307" s="13">
        <f>ROUND(I307*J307,0)</f>
        <v>4950000</v>
      </c>
      <c r="L307" s="113" t="s">
        <v>251</v>
      </c>
      <c r="M307" s="402" t="s">
        <v>168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563"/>
    </row>
    <row r="308" spans="1:26" ht="15.75" customHeight="1">
      <c r="A308" s="120" t="str">
        <f>IF(B308&lt;&gt;"",IF(AND(B308&gt;=_TM1,B308&lt;=_TM2,OR(TH!L308="1111",TH!M308="1111")),TH!D308,""),"")</f>
        <v/>
      </c>
      <c r="B308" s="12">
        <f t="shared" si="11"/>
        <v>9</v>
      </c>
      <c r="C308" s="105">
        <f t="shared" si="12"/>
        <v>42621</v>
      </c>
      <c r="D308" s="105" t="s">
        <v>603</v>
      </c>
      <c r="E308" s="110">
        <v>42621</v>
      </c>
      <c r="F308" s="109" t="s">
        <v>647</v>
      </c>
      <c r="G308" s="296" t="s">
        <v>750</v>
      </c>
      <c r="H308" s="4" t="s">
        <v>370</v>
      </c>
      <c r="I308" s="133">
        <v>300</v>
      </c>
      <c r="J308" s="133">
        <v>19700</v>
      </c>
      <c r="K308" s="13">
        <f>ROUND(I308*J308,0)</f>
        <v>5910000</v>
      </c>
      <c r="L308" s="113" t="s">
        <v>251</v>
      </c>
      <c r="M308" s="402" t="s">
        <v>168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563"/>
    </row>
    <row r="309" spans="1:26" ht="15.75" customHeight="1">
      <c r="A309" s="120" t="str">
        <f>IF(B309&lt;&gt;"",IF(AND(B309&gt;=_TM1,B309&lt;=_TM2,OR(TH!L309="1111",TH!M309="1111")),TH!D309,""),"")</f>
        <v/>
      </c>
      <c r="B309" s="12">
        <f t="shared" si="11"/>
        <v>9</v>
      </c>
      <c r="C309" s="105">
        <f t="shared" si="12"/>
        <v>42621</v>
      </c>
      <c r="D309" s="105" t="s">
        <v>603</v>
      </c>
      <c r="E309" s="110">
        <v>42621</v>
      </c>
      <c r="F309" s="109" t="s">
        <v>494</v>
      </c>
      <c r="G309" s="296" t="s">
        <v>750</v>
      </c>
      <c r="H309" s="4" t="s">
        <v>370</v>
      </c>
      <c r="I309" s="133"/>
      <c r="J309" s="133"/>
      <c r="K309" s="13">
        <v>2343000</v>
      </c>
      <c r="L309" s="113" t="s">
        <v>251</v>
      </c>
      <c r="M309" s="402" t="s">
        <v>350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563"/>
    </row>
    <row r="310" spans="1:26" ht="15.75" customHeight="1">
      <c r="A310" s="120" t="str">
        <f>IF(B310&lt;&gt;"",IF(AND(B310&gt;=_TM1,B310&lt;=_TM2,OR(TH!L310="1111",TH!M310="1111")),TH!D310,""),"")</f>
        <v/>
      </c>
      <c r="B310" s="12">
        <f t="shared" si="11"/>
        <v>9</v>
      </c>
      <c r="C310" s="105">
        <f t="shared" si="12"/>
        <v>42622</v>
      </c>
      <c r="D310" s="110" t="s">
        <v>1007</v>
      </c>
      <c r="E310" s="105">
        <v>42622</v>
      </c>
      <c r="F310" s="109" t="s">
        <v>353</v>
      </c>
      <c r="G310" s="296" t="s">
        <v>424</v>
      </c>
      <c r="H310" s="112" t="s">
        <v>425</v>
      </c>
      <c r="I310" s="133"/>
      <c r="J310" s="133"/>
      <c r="K310" s="401">
        <v>1760000</v>
      </c>
      <c r="L310" s="402" t="s">
        <v>159</v>
      </c>
      <c r="M310" s="402" t="s">
        <v>46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>x</v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563">
        <v>3</v>
      </c>
    </row>
    <row r="311" spans="1:26" ht="15.75" customHeight="1">
      <c r="A311" s="120" t="str">
        <f>IF(B311&lt;&gt;"",IF(AND(B311&gt;=_TM1,B311&lt;=_TM2,OR(TH!L311="1111",TH!M311="1111")),TH!D311,""),"")</f>
        <v/>
      </c>
      <c r="B311" s="12">
        <f t="shared" si="11"/>
        <v>9</v>
      </c>
      <c r="C311" s="105">
        <f t="shared" si="12"/>
        <v>42622</v>
      </c>
      <c r="D311" s="110" t="s">
        <v>1007</v>
      </c>
      <c r="E311" s="105">
        <v>42622</v>
      </c>
      <c r="F311" s="109" t="s">
        <v>423</v>
      </c>
      <c r="G311" s="296" t="s">
        <v>424</v>
      </c>
      <c r="H311" s="112" t="s">
        <v>425</v>
      </c>
      <c r="I311" s="133"/>
      <c r="J311" s="133"/>
      <c r="K311" s="401">
        <v>176000</v>
      </c>
      <c r="L311" s="402" t="s">
        <v>9</v>
      </c>
      <c r="M311" s="402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>x</v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563">
        <v>3</v>
      </c>
    </row>
    <row r="312" spans="1:26" ht="15.75" customHeight="1">
      <c r="A312" s="120" t="str">
        <f>IF(B312&lt;&gt;"",IF(AND(B312&gt;=_TM1,B312&lt;=_TM2,OR(TH!L312="1111",TH!M312="1111")),TH!D312,""),"")</f>
        <v/>
      </c>
      <c r="B312" s="12">
        <f t="shared" si="11"/>
        <v>9</v>
      </c>
      <c r="C312" s="105">
        <f t="shared" si="12"/>
        <v>42622</v>
      </c>
      <c r="D312" s="105" t="s">
        <v>467</v>
      </c>
      <c r="E312" s="110">
        <v>42622</v>
      </c>
      <c r="F312" s="109" t="s">
        <v>482</v>
      </c>
      <c r="G312" s="296" t="s">
        <v>472</v>
      </c>
      <c r="H312" s="4" t="s">
        <v>365</v>
      </c>
      <c r="I312" s="133"/>
      <c r="J312" s="133"/>
      <c r="K312" s="401">
        <v>34100000</v>
      </c>
      <c r="L312" s="402" t="s">
        <v>24</v>
      </c>
      <c r="M312" s="402" t="s">
        <v>251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>x</v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563"/>
    </row>
    <row r="313" spans="1:26" ht="15.75" customHeight="1">
      <c r="A313" s="120" t="str">
        <f>IF(B313&lt;&gt;"",IF(AND(B313&gt;=_TM1,B313&lt;=_TM2,OR(TH!L313="1111",TH!M313="1111")),TH!D313,""),"")</f>
        <v/>
      </c>
      <c r="B313" s="12">
        <f t="shared" si="11"/>
        <v>9</v>
      </c>
      <c r="C313" s="105">
        <f t="shared" si="12"/>
        <v>42622</v>
      </c>
      <c r="D313" s="105" t="s">
        <v>1008</v>
      </c>
      <c r="E313" s="110">
        <v>42622</v>
      </c>
      <c r="F313" s="109" t="s">
        <v>469</v>
      </c>
      <c r="G313" s="296" t="s">
        <v>472</v>
      </c>
      <c r="H313" s="4" t="s">
        <v>473</v>
      </c>
      <c r="I313" s="133"/>
      <c r="J313" s="133"/>
      <c r="K313" s="13">
        <v>5200000</v>
      </c>
      <c r="L313" s="113" t="s">
        <v>24</v>
      </c>
      <c r="M313" s="113" t="s">
        <v>46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>x</v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>x</v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563"/>
    </row>
    <row r="314" spans="1:26" ht="15.75" customHeight="1">
      <c r="A314" s="120" t="str">
        <f>IF(B314&lt;&gt;"",IF(AND(B314&gt;=_TM1,B314&lt;=_TM2,OR(TH!L314="1111",TH!M314="1111")),TH!D314,""),"")</f>
        <v/>
      </c>
      <c r="B314" s="12">
        <f t="shared" si="11"/>
        <v>9</v>
      </c>
      <c r="C314" s="105">
        <f t="shared" si="12"/>
        <v>42622</v>
      </c>
      <c r="D314" s="105" t="s">
        <v>468</v>
      </c>
      <c r="E314" s="110">
        <v>42622</v>
      </c>
      <c r="F314" s="109" t="s">
        <v>463</v>
      </c>
      <c r="G314" s="296" t="s">
        <v>472</v>
      </c>
      <c r="H314" s="4" t="s">
        <v>397</v>
      </c>
      <c r="I314" s="133"/>
      <c r="J314" s="133"/>
      <c r="K314" s="401">
        <v>40000000</v>
      </c>
      <c r="L314" s="113" t="s">
        <v>8</v>
      </c>
      <c r="M314" s="113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563"/>
    </row>
    <row r="315" spans="1:26" ht="15.75" customHeight="1">
      <c r="A315" s="120" t="str">
        <f>IF(B315&lt;&gt;"",IF(AND(B315&gt;=_TM1,B315&lt;=_TM2,OR(TH!L315="1111",TH!M315="1111")),TH!D315,""),"")</f>
        <v/>
      </c>
      <c r="B315" s="12">
        <f t="shared" si="11"/>
        <v>9</v>
      </c>
      <c r="C315" s="105">
        <f t="shared" si="12"/>
        <v>42622</v>
      </c>
      <c r="D315" s="105" t="s">
        <v>468</v>
      </c>
      <c r="E315" s="110">
        <v>42622</v>
      </c>
      <c r="F315" s="109" t="s">
        <v>478</v>
      </c>
      <c r="G315" s="296" t="s">
        <v>472</v>
      </c>
      <c r="H315" s="4"/>
      <c r="I315" s="133"/>
      <c r="J315" s="133"/>
      <c r="K315" s="401">
        <v>10000</v>
      </c>
      <c r="L315" s="113" t="s">
        <v>82</v>
      </c>
      <c r="M315" s="113" t="s">
        <v>24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>x</v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>x</v>
      </c>
      <c r="Y315" s="22" t="str">
        <f>IF(AND(B315&lt;=NKC!$N$8,B315&gt;=NKC!$M$8),"x","")</f>
        <v>x</v>
      </c>
      <c r="Z315" s="563">
        <v>3</v>
      </c>
    </row>
    <row r="316" spans="1:26" ht="15.75" customHeight="1">
      <c r="A316" s="120" t="str">
        <f>IF(B316&lt;&gt;"",IF(AND(B316&gt;=_TM1,B316&lt;=_TM2,OR(TH!L316="1111",TH!M316="1111")),TH!D316,""),"")</f>
        <v/>
      </c>
      <c r="B316" s="12">
        <f t="shared" si="11"/>
        <v>9</v>
      </c>
      <c r="C316" s="105">
        <f t="shared" si="12"/>
        <v>42622</v>
      </c>
      <c r="D316" s="105" t="s">
        <v>468</v>
      </c>
      <c r="E316" s="110">
        <v>42622</v>
      </c>
      <c r="F316" s="109" t="s">
        <v>479</v>
      </c>
      <c r="G316" s="296" t="s">
        <v>472</v>
      </c>
      <c r="H316" s="4"/>
      <c r="I316" s="133"/>
      <c r="J316" s="133"/>
      <c r="K316" s="401">
        <v>1000</v>
      </c>
      <c r="L316" s="113" t="s">
        <v>9</v>
      </c>
      <c r="M316" s="113" t="s">
        <v>24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>x</v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563">
        <v>3</v>
      </c>
    </row>
    <row r="317" spans="1:26" ht="15.75" customHeight="1">
      <c r="A317" s="120" t="str">
        <f>IF(B317&lt;&gt;"",IF(AND(B317&gt;=_TM1,B317&lt;=_TM2,OR(TH!L317="1111",TH!M317="1111")),TH!D317,""),"")</f>
        <v/>
      </c>
      <c r="B317" s="12">
        <f t="shared" si="11"/>
        <v>9</v>
      </c>
      <c r="C317" s="105">
        <f t="shared" si="12"/>
        <v>42624</v>
      </c>
      <c r="D317" s="105" t="s">
        <v>604</v>
      </c>
      <c r="E317" s="110">
        <v>42624</v>
      </c>
      <c r="F317" s="109" t="s">
        <v>543</v>
      </c>
      <c r="G317" s="296" t="s">
        <v>751</v>
      </c>
      <c r="H317" s="112" t="s">
        <v>542</v>
      </c>
      <c r="I317" s="133">
        <v>10520</v>
      </c>
      <c r="J317" s="133">
        <v>9000</v>
      </c>
      <c r="K317" s="13">
        <f>ROUND(I317*J317,0)</f>
        <v>94680000</v>
      </c>
      <c r="L317" s="113" t="s">
        <v>251</v>
      </c>
      <c r="M317" s="402" t="s">
        <v>168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563"/>
    </row>
    <row r="318" spans="1:26" ht="15.75" customHeight="1">
      <c r="A318" s="120" t="str">
        <f>IF(B318&lt;&gt;"",IF(AND(B318&gt;=_TM1,B318&lt;=_TM2,OR(TH!L318="1111",TH!M318="1111")),TH!D318,""),"")</f>
        <v/>
      </c>
      <c r="B318" s="12">
        <f t="shared" si="11"/>
        <v>9</v>
      </c>
      <c r="C318" s="105">
        <f t="shared" si="12"/>
        <v>42624</v>
      </c>
      <c r="D318" s="105" t="s">
        <v>604</v>
      </c>
      <c r="E318" s="110">
        <v>42624</v>
      </c>
      <c r="F318" s="109" t="s">
        <v>494</v>
      </c>
      <c r="G318" s="296" t="s">
        <v>751</v>
      </c>
      <c r="H318" s="112" t="s">
        <v>542</v>
      </c>
      <c r="I318" s="133"/>
      <c r="J318" s="133"/>
      <c r="K318" s="13">
        <v>9468000</v>
      </c>
      <c r="L318" s="113" t="s">
        <v>251</v>
      </c>
      <c r="M318" s="402" t="s">
        <v>350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>x</v>
      </c>
      <c r="Z318" s="563"/>
    </row>
    <row r="319" spans="1:26" ht="15.75" customHeight="1">
      <c r="A319" s="120" t="str">
        <f>IF(B319&lt;&gt;"",IF(AND(B319&gt;=_TM1,B319&lt;=_TM2,OR(TH!L319="1111",TH!M319="1111")),TH!D319,""),"")</f>
        <v/>
      </c>
      <c r="B319" s="12">
        <f t="shared" si="11"/>
        <v>9</v>
      </c>
      <c r="C319" s="105">
        <f t="shared" si="12"/>
        <v>42625</v>
      </c>
      <c r="D319" s="105" t="s">
        <v>943</v>
      </c>
      <c r="E319" s="110">
        <v>42625</v>
      </c>
      <c r="F319" s="109" t="s">
        <v>775</v>
      </c>
      <c r="G319" s="298" t="s">
        <v>981</v>
      </c>
      <c r="H319" s="112" t="s">
        <v>778</v>
      </c>
      <c r="I319" s="133">
        <v>21050</v>
      </c>
      <c r="J319" s="133">
        <v>750</v>
      </c>
      <c r="K319" s="13">
        <f>ROUND(I319*J319,0)</f>
        <v>15787500</v>
      </c>
      <c r="L319" s="113" t="s">
        <v>155</v>
      </c>
      <c r="M319" s="113" t="s">
        <v>8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>x</v>
      </c>
      <c r="Z319" s="563">
        <v>4</v>
      </c>
    </row>
    <row r="320" spans="1:26" ht="15.75" customHeight="1">
      <c r="A320" s="120" t="str">
        <f>IF(B320&lt;&gt;"",IF(AND(B320&gt;=_TM1,B320&lt;=_TM2,OR(TH!L320="1111",TH!M320="1111")),TH!D320,""),"")</f>
        <v/>
      </c>
      <c r="B320" s="12">
        <f t="shared" si="11"/>
        <v>9</v>
      </c>
      <c r="C320" s="105">
        <f t="shared" si="12"/>
        <v>42625</v>
      </c>
      <c r="D320" s="105" t="s">
        <v>943</v>
      </c>
      <c r="E320" s="110">
        <v>42625</v>
      </c>
      <c r="F320" s="109" t="s">
        <v>776</v>
      </c>
      <c r="G320" s="298" t="s">
        <v>981</v>
      </c>
      <c r="H320" s="112" t="s">
        <v>778</v>
      </c>
      <c r="I320" s="133"/>
      <c r="J320" s="133"/>
      <c r="K320" s="13">
        <v>1578750</v>
      </c>
      <c r="L320" s="113" t="s">
        <v>9</v>
      </c>
      <c r="M320" s="113" t="s">
        <v>8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>x</v>
      </c>
      <c r="Z320" s="563">
        <v>4</v>
      </c>
    </row>
    <row r="321" spans="1:26" ht="15.75" customHeight="1">
      <c r="A321" s="120" t="str">
        <f>IF(B321&lt;&gt;"",IF(AND(B321&gt;=_TM1,B321&lt;=_TM2,OR(TH!L321="1111",TH!M321="1111")),TH!D321,""),"")</f>
        <v/>
      </c>
      <c r="B321" s="12">
        <f t="shared" si="11"/>
        <v>9</v>
      </c>
      <c r="C321" s="105">
        <f t="shared" si="12"/>
        <v>42625</v>
      </c>
      <c r="D321" s="110" t="s">
        <v>1011</v>
      </c>
      <c r="E321" s="110">
        <v>42625</v>
      </c>
      <c r="F321" s="109" t="s">
        <v>463</v>
      </c>
      <c r="G321" s="298" t="s">
        <v>981</v>
      </c>
      <c r="H321" s="112" t="s">
        <v>778</v>
      </c>
      <c r="I321" s="133"/>
      <c r="J321" s="133"/>
      <c r="K321" s="13">
        <v>17366250</v>
      </c>
      <c r="L321" s="113" t="s">
        <v>8</v>
      </c>
      <c r="M321" s="402" t="s">
        <v>46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>x</v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>x</v>
      </c>
      <c r="Z321" s="563"/>
    </row>
    <row r="322" spans="1:26" ht="15.75" customHeight="1">
      <c r="A322" s="120" t="str">
        <f>IF(B322&lt;&gt;"",IF(AND(B322&gt;=_TM1,B322&lt;=_TM2,OR(TH!L322="1111",TH!M322="1111")),TH!D322,""),"")</f>
        <v/>
      </c>
      <c r="B322" s="12">
        <f t="shared" si="11"/>
        <v>9</v>
      </c>
      <c r="C322" s="105">
        <f t="shared" si="12"/>
        <v>42625</v>
      </c>
      <c r="D322" s="105" t="s">
        <v>467</v>
      </c>
      <c r="E322" s="110">
        <v>42625</v>
      </c>
      <c r="F322" s="109" t="s">
        <v>482</v>
      </c>
      <c r="G322" s="296" t="s">
        <v>472</v>
      </c>
      <c r="H322" s="4" t="s">
        <v>370</v>
      </c>
      <c r="I322" s="133"/>
      <c r="J322" s="133"/>
      <c r="K322" s="401">
        <v>25773000</v>
      </c>
      <c r="L322" s="402" t="s">
        <v>24</v>
      </c>
      <c r="M322" s="402" t="s">
        <v>251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>x</v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>x</v>
      </c>
      <c r="Z322" s="563"/>
    </row>
    <row r="323" spans="1:26" ht="15.75" customHeight="1">
      <c r="A323" s="120" t="str">
        <f>IF(B323&lt;&gt;"",IF(AND(B323&gt;=_TM1,B323&lt;=_TM2,OR(TH!L323="1111",TH!M323="1111")),TH!D323,""),"")</f>
        <v/>
      </c>
      <c r="B323" s="12">
        <f t="shared" si="11"/>
        <v>9</v>
      </c>
      <c r="C323" s="105">
        <f t="shared" si="12"/>
        <v>42625</v>
      </c>
      <c r="D323" s="105" t="s">
        <v>468</v>
      </c>
      <c r="E323" s="110">
        <v>42625</v>
      </c>
      <c r="F323" s="109" t="s">
        <v>477</v>
      </c>
      <c r="G323" s="296" t="s">
        <v>472</v>
      </c>
      <c r="H323" s="112" t="s">
        <v>622</v>
      </c>
      <c r="I323" s="133"/>
      <c r="J323" s="133"/>
      <c r="K323" s="13">
        <v>20700000</v>
      </c>
      <c r="L323" s="113" t="s">
        <v>8</v>
      </c>
      <c r="M323" s="113" t="s">
        <v>24</v>
      </c>
      <c r="N323" s="22" t="str">
        <f>IF(AND('331-CT'!$E$7=TH!H323,OR(L323="331",M323="331")),"331",IF(AND(OR(L323="131",M323="131"),H323='131-CT'!$E$7),"131",""))</f>
        <v>331</v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/>
      </c>
      <c r="Y323" s="22" t="str">
        <f>IF(AND(B323&lt;=NKC!$N$8,B323&gt;=NKC!$M$8),"x","")</f>
        <v>x</v>
      </c>
      <c r="Z323" s="563"/>
    </row>
    <row r="324" spans="1:26" ht="15.75" customHeight="1">
      <c r="A324" s="120" t="str">
        <f>IF(B324&lt;&gt;"",IF(AND(B324&gt;=_TM1,B324&lt;=_TM2,OR(TH!L324="1111",TH!M324="1111")),TH!D324,""),"")</f>
        <v/>
      </c>
      <c r="B324" s="12">
        <f t="shared" si="11"/>
        <v>9</v>
      </c>
      <c r="C324" s="105">
        <f t="shared" si="12"/>
        <v>42626</v>
      </c>
      <c r="D324" s="105" t="s">
        <v>1036</v>
      </c>
      <c r="E324" s="110">
        <v>42626</v>
      </c>
      <c r="F324" s="109" t="s">
        <v>483</v>
      </c>
      <c r="G324" s="296" t="s">
        <v>472</v>
      </c>
      <c r="H324" s="4" t="s">
        <v>486</v>
      </c>
      <c r="I324" s="133"/>
      <c r="J324" s="133"/>
      <c r="K324" s="401">
        <v>5000000</v>
      </c>
      <c r="L324" s="402" t="s">
        <v>46</v>
      </c>
      <c r="M324" s="402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/>
      </c>
      <c r="P324" s="22" t="str">
        <f>IF(AND($L324=$O$7,$B324&lt;'111'!$N$11),"x","")</f>
        <v>x</v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>x</v>
      </c>
      <c r="Z324" s="563"/>
    </row>
    <row r="325" spans="1:26" ht="15.75" customHeight="1">
      <c r="A325" s="120" t="str">
        <f>IF(B325&lt;&gt;"",IF(AND(B325&gt;=_TM1,B325&lt;=_TM2,OR(TH!L325="1111",TH!M325="1111")),TH!D325,""),"")</f>
        <v/>
      </c>
      <c r="B325" s="12">
        <f t="shared" si="11"/>
        <v>9</v>
      </c>
      <c r="C325" s="105">
        <f t="shared" si="12"/>
        <v>42626</v>
      </c>
      <c r="D325" s="105" t="s">
        <v>468</v>
      </c>
      <c r="E325" s="110">
        <v>42626</v>
      </c>
      <c r="F325" s="109" t="s">
        <v>487</v>
      </c>
      <c r="G325" s="296" t="s">
        <v>472</v>
      </c>
      <c r="H325" s="4"/>
      <c r="I325" s="133"/>
      <c r="J325" s="133"/>
      <c r="K325" s="13">
        <v>20000</v>
      </c>
      <c r="L325" s="113" t="s">
        <v>82</v>
      </c>
      <c r="M325" s="113" t="s">
        <v>24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/>
      </c>
      <c r="T325" s="22" t="str">
        <f>IF(ISERROR(FIND('112'!$M$9,G325,1)),"",IF((AND(RIGHT(G325,2)=RIGHT('112'!$M$9,2),B325&lt;'112'!$N$8,$M325='112'!$I$6)),"x",""))</f>
        <v>x</v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>x</v>
      </c>
      <c r="Y325" s="22" t="str">
        <f>IF(AND(B325&lt;=NKC!$N$8,B325&gt;=NKC!$M$8),"x","")</f>
        <v>x</v>
      </c>
      <c r="Z325" s="563">
        <v>3</v>
      </c>
    </row>
    <row r="326" spans="1:26" ht="15.75" customHeight="1">
      <c r="A326" s="120" t="str">
        <f>IF(B326&lt;&gt;"",IF(AND(B326&gt;=_TM1,B326&lt;=_TM2,OR(TH!L326="1111",TH!M326="1111")),TH!D326,""),"")</f>
        <v/>
      </c>
      <c r="B326" s="12">
        <f t="shared" si="11"/>
        <v>9</v>
      </c>
      <c r="C326" s="105">
        <f t="shared" si="12"/>
        <v>42626</v>
      </c>
      <c r="D326" s="105" t="s">
        <v>468</v>
      </c>
      <c r="E326" s="110">
        <v>42626</v>
      </c>
      <c r="F326" s="109" t="s">
        <v>488</v>
      </c>
      <c r="G326" s="296" t="s">
        <v>472</v>
      </c>
      <c r="H326" s="4"/>
      <c r="I326" s="133"/>
      <c r="J326" s="133"/>
      <c r="K326" s="13">
        <v>2000</v>
      </c>
      <c r="L326" s="113" t="s">
        <v>9</v>
      </c>
      <c r="M326" s="113" t="s">
        <v>24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>x</v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>x</v>
      </c>
      <c r="Z326" s="563">
        <v>3</v>
      </c>
    </row>
    <row r="327" spans="1:26" ht="15.75" customHeight="1">
      <c r="A327" s="120" t="str">
        <f>IF(B327&lt;&gt;"",IF(AND(B327&gt;=_TM1,B327&lt;=_TM2,OR(TH!L327="1111",TH!M327="1111")),TH!D327,""),"")</f>
        <v/>
      </c>
      <c r="B327" s="12">
        <f t="shared" si="11"/>
        <v>9</v>
      </c>
      <c r="C327" s="105">
        <f t="shared" si="12"/>
        <v>42626</v>
      </c>
      <c r="D327" s="105" t="s">
        <v>467</v>
      </c>
      <c r="E327" s="110">
        <v>42626</v>
      </c>
      <c r="F327" s="109" t="s">
        <v>482</v>
      </c>
      <c r="G327" s="296" t="s">
        <v>472</v>
      </c>
      <c r="H327" s="4" t="s">
        <v>369</v>
      </c>
      <c r="I327" s="133"/>
      <c r="J327" s="133"/>
      <c r="K327" s="401">
        <v>11632720</v>
      </c>
      <c r="L327" s="402" t="s">
        <v>24</v>
      </c>
      <c r="M327" s="402" t="s">
        <v>251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>x</v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>x</v>
      </c>
      <c r="Z327" s="563"/>
    </row>
    <row r="328" spans="1:26" ht="15.75" customHeight="1">
      <c r="A328" s="120" t="str">
        <f>IF(B328&lt;&gt;"",IF(AND(B328&gt;=_TM1,B328&lt;=_TM2,OR(TH!L328="1111",TH!M328="1111")),TH!D328,""),"")</f>
        <v/>
      </c>
      <c r="B328" s="12">
        <f t="shared" si="11"/>
        <v>9</v>
      </c>
      <c r="C328" s="105">
        <f t="shared" si="12"/>
        <v>42626</v>
      </c>
      <c r="D328" s="105" t="s">
        <v>605</v>
      </c>
      <c r="E328" s="110">
        <v>42626</v>
      </c>
      <c r="F328" s="109" t="s">
        <v>662</v>
      </c>
      <c r="G328" s="296" t="s">
        <v>752</v>
      </c>
      <c r="H328" s="4" t="s">
        <v>616</v>
      </c>
      <c r="I328" s="133">
        <v>210</v>
      </c>
      <c r="J328" s="133">
        <v>9400</v>
      </c>
      <c r="K328" s="13">
        <f>ROUND(I328*J328,0)</f>
        <v>1974000</v>
      </c>
      <c r="L328" s="113" t="s">
        <v>251</v>
      </c>
      <c r="M328" s="402" t="s">
        <v>168</v>
      </c>
      <c r="N328" s="22" t="str">
        <f>IF(AND('331-CT'!$E$7=TH!H328,OR(L328="331",M328="331")),"331",IF(AND(OR(L328="131",M328="131"),H328='131-CT'!$E$7),"131",""))</f>
        <v/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>x</v>
      </c>
      <c r="Z328" s="563"/>
    </row>
    <row r="329" spans="1:26" ht="15.75" customHeight="1">
      <c r="A329" s="120" t="str">
        <f>IF(B329&lt;&gt;"",IF(AND(B329&gt;=_TM1,B329&lt;=_TM2,OR(TH!L329="1111",TH!M329="1111")),TH!D329,""),"")</f>
        <v/>
      </c>
      <c r="B329" s="12">
        <f t="shared" si="11"/>
        <v>9</v>
      </c>
      <c r="C329" s="105">
        <f t="shared" si="12"/>
        <v>42626</v>
      </c>
      <c r="D329" s="105" t="s">
        <v>605</v>
      </c>
      <c r="E329" s="110">
        <v>42626</v>
      </c>
      <c r="F329" s="109" t="s">
        <v>663</v>
      </c>
      <c r="G329" s="296" t="s">
        <v>752</v>
      </c>
      <c r="H329" s="4" t="s">
        <v>616</v>
      </c>
      <c r="I329" s="133">
        <v>200</v>
      </c>
      <c r="J329" s="133">
        <v>9800</v>
      </c>
      <c r="K329" s="13">
        <f>ROUND(I329*J329,0)</f>
        <v>1960000</v>
      </c>
      <c r="L329" s="113" t="s">
        <v>251</v>
      </c>
      <c r="M329" s="402" t="s">
        <v>168</v>
      </c>
      <c r="N329" s="22" t="str">
        <f>IF(AND('331-CT'!$E$7=TH!H329,OR(L329="331",M329="331")),"331",IF(AND(OR(L329="131",M329="131"),H329='131-CT'!$E$7),"131",""))</f>
        <v/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>x</v>
      </c>
      <c r="Z329" s="563"/>
    </row>
    <row r="330" spans="1:26" ht="15.75" customHeight="1">
      <c r="A330" s="120" t="str">
        <f>IF(B330&lt;&gt;"",IF(AND(B330&gt;=_TM1,B330&lt;=_TM2,OR(TH!L330="1111",TH!M330="1111")),TH!D330,""),"")</f>
        <v/>
      </c>
      <c r="B330" s="12">
        <f t="shared" si="11"/>
        <v>9</v>
      </c>
      <c r="C330" s="105">
        <f t="shared" si="12"/>
        <v>42626</v>
      </c>
      <c r="D330" s="105" t="s">
        <v>605</v>
      </c>
      <c r="E330" s="110">
        <v>42626</v>
      </c>
      <c r="F330" s="109" t="s">
        <v>661</v>
      </c>
      <c r="G330" s="296" t="s">
        <v>752</v>
      </c>
      <c r="H330" s="4" t="s">
        <v>616</v>
      </c>
      <c r="I330" s="133">
        <v>171</v>
      </c>
      <c r="J330" s="133">
        <v>11250</v>
      </c>
      <c r="K330" s="13">
        <f>ROUND(I330*J330,0)</f>
        <v>1923750</v>
      </c>
      <c r="L330" s="113" t="s">
        <v>251</v>
      </c>
      <c r="M330" s="402" t="s">
        <v>168</v>
      </c>
      <c r="N330" s="22" t="str">
        <f>IF(AND('331-CT'!$E$7=TH!H330,OR(L330="331",M330="331")),"331",IF(AND(OR(L330="131",M330="131"),H330='131-CT'!$E$7),"131",""))</f>
        <v/>
      </c>
      <c r="O330" s="22" t="str">
        <f>IF(AND($B330&gt;='111'!$N$11,$B330&lt;='111'!$O$11,OR($L330=$O$7,$M330=$O$7)),"x","")</f>
        <v/>
      </c>
      <c r="P330" s="22" t="str">
        <f>IF(AND($L330=$O$7,$B330&lt;'111'!$N$11),"x","")</f>
        <v/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/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>x</v>
      </c>
      <c r="Z330" s="563"/>
    </row>
    <row r="331" spans="1:26" ht="15.75" customHeight="1">
      <c r="A331" s="120" t="str">
        <f>IF(B331&lt;&gt;"",IF(AND(B331&gt;=_TM1,B331&lt;=_TM2,OR(TH!L331="1111",TH!M331="1111")),TH!D331,""),"")</f>
        <v/>
      </c>
      <c r="B331" s="12">
        <f t="shared" si="11"/>
        <v>9</v>
      </c>
      <c r="C331" s="105">
        <f t="shared" si="12"/>
        <v>42626</v>
      </c>
      <c r="D331" s="105" t="s">
        <v>605</v>
      </c>
      <c r="E331" s="110">
        <v>42626</v>
      </c>
      <c r="F331" s="109" t="s">
        <v>494</v>
      </c>
      <c r="G331" s="296" t="s">
        <v>752</v>
      </c>
      <c r="H331" s="4" t="s">
        <v>616</v>
      </c>
      <c r="I331" s="133"/>
      <c r="J331" s="133"/>
      <c r="K331" s="13">
        <v>585775</v>
      </c>
      <c r="L331" s="113" t="s">
        <v>251</v>
      </c>
      <c r="M331" s="402" t="s">
        <v>350</v>
      </c>
      <c r="N331" s="22" t="str">
        <f>IF(AND('331-CT'!$E$7=TH!H331,OR(L331="331",M331="331")),"331",IF(AND(OR(L331="131",M331="131"),H331='131-CT'!$E$7),"131",""))</f>
        <v/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>x</v>
      </c>
      <c r="Z331" s="563"/>
    </row>
    <row r="332" spans="1:26" ht="15.75" customHeight="1">
      <c r="A332" s="120" t="str">
        <f>IF(B332&lt;&gt;"",IF(AND(B332&gt;=_TM1,B332&lt;=_TM2,OR(TH!L332="1111",TH!M332="1111")),TH!D332,""),"")</f>
        <v/>
      </c>
      <c r="B332" s="12">
        <f t="shared" si="11"/>
        <v>9</v>
      </c>
      <c r="C332" s="105">
        <f t="shared" si="12"/>
        <v>42627</v>
      </c>
      <c r="D332" s="105" t="s">
        <v>1037</v>
      </c>
      <c r="E332" s="110">
        <v>42627</v>
      </c>
      <c r="F332" s="109" t="s">
        <v>483</v>
      </c>
      <c r="G332" s="296" t="s">
        <v>472</v>
      </c>
      <c r="H332" s="4" t="s">
        <v>473</v>
      </c>
      <c r="I332" s="133"/>
      <c r="J332" s="133"/>
      <c r="K332" s="401">
        <v>11600000</v>
      </c>
      <c r="L332" s="402" t="s">
        <v>46</v>
      </c>
      <c r="M332" s="402" t="s">
        <v>24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/>
      </c>
      <c r="P332" s="22" t="str">
        <f>IF(AND($L332=$O$7,$B332&lt;'111'!$N$11),"x","")</f>
        <v>x</v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>x</v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>x</v>
      </c>
      <c r="Z332" s="563"/>
    </row>
    <row r="333" spans="1:26" ht="15.75" customHeight="1">
      <c r="A333" s="120" t="str">
        <f>IF(B333&lt;&gt;"",IF(AND(B333&gt;=_TM1,B333&lt;=_TM2,OR(TH!L333="1111",TH!M333="1111")),TH!D333,""),"")</f>
        <v/>
      </c>
      <c r="B333" s="12">
        <f t="shared" si="11"/>
        <v>9</v>
      </c>
      <c r="C333" s="105">
        <f t="shared" si="12"/>
        <v>42627</v>
      </c>
      <c r="D333" s="105" t="s">
        <v>606</v>
      </c>
      <c r="E333" s="110">
        <v>42627</v>
      </c>
      <c r="F333" s="111" t="s">
        <v>815</v>
      </c>
      <c r="G333" s="296" t="s">
        <v>753</v>
      </c>
      <c r="H333" s="4" t="s">
        <v>371</v>
      </c>
      <c r="I333" s="133">
        <v>2400</v>
      </c>
      <c r="J333" s="133">
        <v>5200</v>
      </c>
      <c r="K333" s="13">
        <f>ROUND(I333*J333,0)</f>
        <v>12480000</v>
      </c>
      <c r="L333" s="113" t="s">
        <v>251</v>
      </c>
      <c r="M333" s="402" t="s">
        <v>168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>x</v>
      </c>
      <c r="Z333" s="563"/>
    </row>
    <row r="334" spans="1:26" ht="15.75" customHeight="1">
      <c r="A334" s="120" t="str">
        <f>IF(B334&lt;&gt;"",IF(AND(B334&gt;=_TM1,B334&lt;=_TM2,OR(TH!L334="1111",TH!M334="1111")),TH!D334,""),"")</f>
        <v/>
      </c>
      <c r="B334" s="12">
        <f t="shared" si="11"/>
        <v>9</v>
      </c>
      <c r="C334" s="105">
        <f t="shared" si="12"/>
        <v>42627</v>
      </c>
      <c r="D334" s="105" t="s">
        <v>606</v>
      </c>
      <c r="E334" s="110">
        <v>42627</v>
      </c>
      <c r="F334" s="111" t="s">
        <v>816</v>
      </c>
      <c r="G334" s="296" t="s">
        <v>753</v>
      </c>
      <c r="H334" s="4" t="s">
        <v>371</v>
      </c>
      <c r="I334" s="133">
        <v>500</v>
      </c>
      <c r="J334" s="133">
        <v>10200</v>
      </c>
      <c r="K334" s="13">
        <f>ROUND(I334*J334,0)</f>
        <v>5100000</v>
      </c>
      <c r="L334" s="113" t="s">
        <v>251</v>
      </c>
      <c r="M334" s="402" t="s">
        <v>168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/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>x</v>
      </c>
      <c r="Z334" s="563"/>
    </row>
    <row r="335" spans="1:26" ht="15.75" customHeight="1">
      <c r="A335" s="120" t="str">
        <f>IF(B335&lt;&gt;"",IF(AND(B335&gt;=_TM1,B335&lt;=_TM2,OR(TH!L335="1111",TH!M335="1111")),TH!D335,""),"")</f>
        <v/>
      </c>
      <c r="B335" s="12">
        <f t="shared" si="11"/>
        <v>9</v>
      </c>
      <c r="C335" s="105">
        <f t="shared" si="12"/>
        <v>42627</v>
      </c>
      <c r="D335" s="105" t="s">
        <v>606</v>
      </c>
      <c r="E335" s="110">
        <v>42627</v>
      </c>
      <c r="F335" s="109" t="s">
        <v>494</v>
      </c>
      <c r="G335" s="296" t="s">
        <v>753</v>
      </c>
      <c r="H335" s="4" t="s">
        <v>371</v>
      </c>
      <c r="I335" s="133"/>
      <c r="J335" s="133"/>
      <c r="K335" s="13">
        <v>1758000</v>
      </c>
      <c r="L335" s="113" t="s">
        <v>251</v>
      </c>
      <c r="M335" s="402" t="s">
        <v>350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/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/>
      </c>
      <c r="Y335" s="22" t="str">
        <f>IF(AND(B335&lt;=NKC!$N$8,B335&gt;=NKC!$M$8),"x","")</f>
        <v>x</v>
      </c>
      <c r="Z335" s="563"/>
    </row>
    <row r="336" spans="1:26" ht="15.75" customHeight="1">
      <c r="A336" s="120" t="str">
        <f>IF(B336&lt;&gt;"",IF(AND(B336&gt;=_TM1,B336&lt;=_TM2,OR(TH!L336="1111",TH!M336="1111")),TH!D336,""),"")</f>
        <v/>
      </c>
      <c r="B336" s="12">
        <f t="shared" si="11"/>
        <v>9</v>
      </c>
      <c r="C336" s="105">
        <f t="shared" si="12"/>
        <v>42627</v>
      </c>
      <c r="D336" s="105" t="s">
        <v>1038</v>
      </c>
      <c r="E336" s="110">
        <v>42627</v>
      </c>
      <c r="F336" s="111" t="s">
        <v>482</v>
      </c>
      <c r="G336" s="296" t="s">
        <v>753</v>
      </c>
      <c r="H336" s="4" t="s">
        <v>371</v>
      </c>
      <c r="I336" s="133"/>
      <c r="J336" s="133"/>
      <c r="K336" s="13">
        <v>19338000</v>
      </c>
      <c r="L336" s="113" t="s">
        <v>46</v>
      </c>
      <c r="M336" s="402" t="s">
        <v>251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/>
      </c>
      <c r="P336" s="22" t="str">
        <f>IF(AND($L336=$O$7,$B336&lt;'111'!$N$11),"x","")</f>
        <v>x</v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/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>x</v>
      </c>
      <c r="Z336" s="563"/>
    </row>
    <row r="337" spans="1:26" ht="15.75" customHeight="1">
      <c r="A337" s="120" t="str">
        <f>IF(B337&lt;&gt;"",IF(AND(B337&gt;=_TM1,B337&lt;=_TM2,OR(TH!L337="1111",TH!M337="1111")),TH!D337,""),"")</f>
        <v/>
      </c>
      <c r="B337" s="12">
        <f t="shared" ref="B337:B400" si="13">IF(C337&lt;&gt;"",MONTH(C337),"")</f>
        <v>9</v>
      </c>
      <c r="C337" s="105">
        <f t="shared" si="12"/>
        <v>42628</v>
      </c>
      <c r="D337" s="105" t="s">
        <v>468</v>
      </c>
      <c r="E337" s="110">
        <v>42628</v>
      </c>
      <c r="F337" s="109" t="s">
        <v>489</v>
      </c>
      <c r="G337" s="296" t="s">
        <v>472</v>
      </c>
      <c r="H337" s="4"/>
      <c r="I337" s="133"/>
      <c r="J337" s="133"/>
      <c r="K337" s="13">
        <v>30000</v>
      </c>
      <c r="L337" s="113" t="s">
        <v>82</v>
      </c>
      <c r="M337" s="113" t="s">
        <v>24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>x</v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>x</v>
      </c>
      <c r="Y337" s="22" t="str">
        <f>IF(AND(B337&lt;=NKC!$N$8,B337&gt;=NKC!$M$8),"x","")</f>
        <v>x</v>
      </c>
      <c r="Z337" s="563">
        <v>3</v>
      </c>
    </row>
    <row r="338" spans="1:26" ht="15.75" customHeight="1">
      <c r="A338" s="120" t="str">
        <f>IF(B338&lt;&gt;"",IF(AND(B338&gt;=_TM1,B338&lt;=_TM2,OR(TH!L338="1111",TH!M338="1111")),TH!D338,""),"")</f>
        <v/>
      </c>
      <c r="B338" s="12">
        <f t="shared" si="13"/>
        <v>9</v>
      </c>
      <c r="C338" s="105">
        <f t="shared" si="12"/>
        <v>42628</v>
      </c>
      <c r="D338" s="105" t="s">
        <v>468</v>
      </c>
      <c r="E338" s="110">
        <v>42628</v>
      </c>
      <c r="F338" s="109" t="s">
        <v>490</v>
      </c>
      <c r="G338" s="296" t="s">
        <v>472</v>
      </c>
      <c r="H338" s="4"/>
      <c r="I338" s="133"/>
      <c r="J338" s="133"/>
      <c r="K338" s="13">
        <v>3000</v>
      </c>
      <c r="L338" s="113" t="s">
        <v>9</v>
      </c>
      <c r="M338" s="113" t="s">
        <v>24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>x</v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>x</v>
      </c>
      <c r="Z338" s="563">
        <v>3</v>
      </c>
    </row>
    <row r="339" spans="1:26" ht="15.75" customHeight="1">
      <c r="A339" s="120" t="str">
        <f>IF(B339&lt;&gt;"",IF(AND(B339&gt;=_TM1,B339&lt;=_TM2,OR(TH!L339="1111",TH!M339="1111")),TH!D339,""),"")</f>
        <v/>
      </c>
      <c r="B339" s="12">
        <f t="shared" si="13"/>
        <v>9</v>
      </c>
      <c r="C339" s="105">
        <f t="shared" si="12"/>
        <v>42628</v>
      </c>
      <c r="D339" s="105" t="s">
        <v>607</v>
      </c>
      <c r="E339" s="110">
        <v>42628</v>
      </c>
      <c r="F339" s="109" t="s">
        <v>518</v>
      </c>
      <c r="G339" s="296" t="s">
        <v>754</v>
      </c>
      <c r="H339" s="4" t="s">
        <v>363</v>
      </c>
      <c r="I339" s="133">
        <v>1820</v>
      </c>
      <c r="J339" s="133">
        <v>5000</v>
      </c>
      <c r="K339" s="13">
        <f>ROUND(I339*J339,0)</f>
        <v>9100000</v>
      </c>
      <c r="L339" s="113" t="s">
        <v>251</v>
      </c>
      <c r="M339" s="402" t="s">
        <v>168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>x</v>
      </c>
      <c r="Z339" s="563"/>
    </row>
    <row r="340" spans="1:26" ht="15.75" customHeight="1">
      <c r="A340" s="120" t="str">
        <f>IF(B340&lt;&gt;"",IF(AND(B340&gt;=_TM1,B340&lt;=_TM2,OR(TH!L340="1111",TH!M340="1111")),TH!D340,""),"")</f>
        <v/>
      </c>
      <c r="B340" s="12">
        <f t="shared" si="13"/>
        <v>9</v>
      </c>
      <c r="C340" s="105">
        <f t="shared" si="12"/>
        <v>42628</v>
      </c>
      <c r="D340" s="105" t="s">
        <v>607</v>
      </c>
      <c r="E340" s="110">
        <v>42628</v>
      </c>
      <c r="F340" s="109" t="s">
        <v>544</v>
      </c>
      <c r="G340" s="296" t="s">
        <v>754</v>
      </c>
      <c r="H340" s="4" t="s">
        <v>363</v>
      </c>
      <c r="I340" s="133">
        <v>620</v>
      </c>
      <c r="J340" s="133">
        <v>5550</v>
      </c>
      <c r="K340" s="13">
        <f>ROUND(I340*J340,0)</f>
        <v>3441000</v>
      </c>
      <c r="L340" s="113" t="s">
        <v>251</v>
      </c>
      <c r="M340" s="402" t="s">
        <v>168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>x</v>
      </c>
      <c r="Z340" s="563"/>
    </row>
    <row r="341" spans="1:26" ht="15.75" customHeight="1">
      <c r="A341" s="120" t="str">
        <f>IF(B341&lt;&gt;"",IF(AND(B341&gt;=_TM1,B341&lt;=_TM2,OR(TH!L341="1111",TH!M341="1111")),TH!D341,""),"")</f>
        <v/>
      </c>
      <c r="B341" s="12">
        <f t="shared" si="13"/>
        <v>9</v>
      </c>
      <c r="C341" s="105">
        <f t="shared" si="12"/>
        <v>42628</v>
      </c>
      <c r="D341" s="105" t="s">
        <v>607</v>
      </c>
      <c r="E341" s="110">
        <v>42628</v>
      </c>
      <c r="F341" s="109" t="s">
        <v>545</v>
      </c>
      <c r="G341" s="296" t="s">
        <v>754</v>
      </c>
      <c r="H341" s="4" t="s">
        <v>363</v>
      </c>
      <c r="I341" s="133">
        <v>304</v>
      </c>
      <c r="J341" s="133">
        <v>5800</v>
      </c>
      <c r="K341" s="13">
        <f>ROUND(I341*J341,0)</f>
        <v>1763200</v>
      </c>
      <c r="L341" s="113" t="s">
        <v>251</v>
      </c>
      <c r="M341" s="402" t="s">
        <v>168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>x</v>
      </c>
      <c r="Z341" s="563"/>
    </row>
    <row r="342" spans="1:26" ht="15.75" customHeight="1">
      <c r="A342" s="120" t="str">
        <f>IF(B342&lt;&gt;"",IF(AND(B342&gt;=_TM1,B342&lt;=_TM2,OR(TH!L342="1111",TH!M342="1111")),TH!D342,""),"")</f>
        <v/>
      </c>
      <c r="B342" s="12">
        <f t="shared" si="13"/>
        <v>9</v>
      </c>
      <c r="C342" s="105">
        <f t="shared" si="12"/>
        <v>42628</v>
      </c>
      <c r="D342" s="105" t="s">
        <v>607</v>
      </c>
      <c r="E342" s="110">
        <v>42628</v>
      </c>
      <c r="F342" s="109" t="s">
        <v>546</v>
      </c>
      <c r="G342" s="296" t="s">
        <v>754</v>
      </c>
      <c r="H342" s="4" t="s">
        <v>363</v>
      </c>
      <c r="I342" s="133">
        <v>316</v>
      </c>
      <c r="J342" s="133">
        <v>5600</v>
      </c>
      <c r="K342" s="13">
        <f>ROUND(I342*J342,0)</f>
        <v>1769600</v>
      </c>
      <c r="L342" s="113" t="s">
        <v>251</v>
      </c>
      <c r="M342" s="402" t="s">
        <v>168</v>
      </c>
      <c r="N342" s="22" t="str">
        <f>IF(AND('331-CT'!$E$7=TH!H342,OR(L342="331",M342="331")),"331",IF(AND(OR(L342="131",M342="131"),H342='131-CT'!$E$7),"131",""))</f>
        <v/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/>
      </c>
      <c r="X342" s="22" t="str">
        <f>IF(OR(TH!L342=TH!$X$7,M342=TH!$X$7),"x","")</f>
        <v/>
      </c>
      <c r="Y342" s="22" t="str">
        <f>IF(AND(B342&lt;=NKC!$N$8,B342&gt;=NKC!$M$8),"x","")</f>
        <v>x</v>
      </c>
      <c r="Z342" s="563"/>
    </row>
    <row r="343" spans="1:26" ht="15.75" customHeight="1">
      <c r="A343" s="120" t="str">
        <f>IF(B343&lt;&gt;"",IF(AND(B343&gt;=_TM1,B343&lt;=_TM2,OR(TH!L343="1111",TH!M343="1111")),TH!D343,""),"")</f>
        <v/>
      </c>
      <c r="B343" s="12">
        <f t="shared" si="13"/>
        <v>9</v>
      </c>
      <c r="C343" s="105">
        <f t="shared" si="12"/>
        <v>42628</v>
      </c>
      <c r="D343" s="105" t="s">
        <v>607</v>
      </c>
      <c r="E343" s="110">
        <v>42628</v>
      </c>
      <c r="F343" s="109" t="s">
        <v>494</v>
      </c>
      <c r="G343" s="296" t="s">
        <v>754</v>
      </c>
      <c r="H343" s="4" t="s">
        <v>363</v>
      </c>
      <c r="I343" s="133"/>
      <c r="J343" s="133"/>
      <c r="K343" s="13">
        <v>1607380</v>
      </c>
      <c r="L343" s="113" t="s">
        <v>251</v>
      </c>
      <c r="M343" s="402" t="s">
        <v>350</v>
      </c>
      <c r="N343" s="22" t="str">
        <f>IF(AND('331-CT'!$E$7=TH!H343,OR(L343="331",M343="331")),"331",IF(AND(OR(L343="131",M343="131"),H343='131-CT'!$E$7),"131",""))</f>
        <v/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>x</v>
      </c>
      <c r="Z343" s="563"/>
    </row>
    <row r="344" spans="1:26" ht="15.75" customHeight="1">
      <c r="A344" s="120" t="str">
        <f>IF(B344&lt;&gt;"",IF(AND(B344&gt;=_TM1,B344&lt;=_TM2,OR(TH!L344="1111",TH!M344="1111")),TH!D344,""),"")</f>
        <v/>
      </c>
      <c r="B344" s="12">
        <f t="shared" si="13"/>
        <v>9</v>
      </c>
      <c r="C344" s="105">
        <f t="shared" si="12"/>
        <v>42630</v>
      </c>
      <c r="D344" s="105" t="s">
        <v>944</v>
      </c>
      <c r="E344" s="105">
        <v>42630</v>
      </c>
      <c r="F344" s="109" t="s">
        <v>442</v>
      </c>
      <c r="G344" s="296" t="s">
        <v>980</v>
      </c>
      <c r="H344" s="112" t="s">
        <v>440</v>
      </c>
      <c r="I344" s="133">
        <v>18500</v>
      </c>
      <c r="J344" s="133">
        <v>780</v>
      </c>
      <c r="K344" s="13">
        <f>ROUND(I344*J344,0)</f>
        <v>14430000</v>
      </c>
      <c r="L344" s="113" t="s">
        <v>155</v>
      </c>
      <c r="M344" s="113" t="s">
        <v>8</v>
      </c>
      <c r="N344" s="22" t="str">
        <f>IF(AND('331-CT'!$E$7=TH!H344,OR(L344="331",M344="331")),"331",IF(AND(OR(L344="131",M344="131"),H344='131-CT'!$E$7),"131",""))</f>
        <v/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/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>x</v>
      </c>
      <c r="X344" s="22" t="str">
        <f>IF(OR(TH!L344=TH!$X$7,M344=TH!$X$7),"x","")</f>
        <v/>
      </c>
      <c r="Y344" s="22" t="str">
        <f>IF(AND(B344&lt;=NKC!$N$8,B344&gt;=NKC!$M$8),"x","")</f>
        <v>x</v>
      </c>
      <c r="Z344" s="563">
        <v>4</v>
      </c>
    </row>
    <row r="345" spans="1:26" ht="15.75" customHeight="1">
      <c r="A345" s="120" t="str">
        <f>IF(B345&lt;&gt;"",IF(AND(B345&gt;=_TM1,B345&lt;=_TM2,OR(TH!L345="1111",TH!M345="1111")),TH!D345,""),"")</f>
        <v/>
      </c>
      <c r="B345" s="12">
        <f t="shared" si="13"/>
        <v>9</v>
      </c>
      <c r="C345" s="105">
        <f t="shared" si="12"/>
        <v>42630</v>
      </c>
      <c r="D345" s="105" t="s">
        <v>944</v>
      </c>
      <c r="E345" s="105">
        <v>42630</v>
      </c>
      <c r="F345" s="109" t="s">
        <v>443</v>
      </c>
      <c r="G345" s="296" t="s">
        <v>980</v>
      </c>
      <c r="H345" s="112" t="s">
        <v>440</v>
      </c>
      <c r="I345" s="133"/>
      <c r="J345" s="133"/>
      <c r="K345" s="401">
        <v>1443000</v>
      </c>
      <c r="L345" s="113" t="s">
        <v>9</v>
      </c>
      <c r="M345" s="113" t="s">
        <v>8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/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>x</v>
      </c>
      <c r="Z345" s="563">
        <v>4</v>
      </c>
    </row>
    <row r="346" spans="1:26" ht="15.75" customHeight="1">
      <c r="A346" s="120" t="str">
        <f>IF(B346&lt;&gt;"",IF(AND(B346&gt;=_TM1,B346&lt;=_TM2,OR(TH!L346="1111",TH!M346="1111")),TH!D346,""),"")</f>
        <v/>
      </c>
      <c r="B346" s="12">
        <f t="shared" si="13"/>
        <v>9</v>
      </c>
      <c r="C346" s="105">
        <f t="shared" si="12"/>
        <v>42630</v>
      </c>
      <c r="D346" s="105" t="s">
        <v>1012</v>
      </c>
      <c r="E346" s="105">
        <v>42630</v>
      </c>
      <c r="F346" s="109" t="s">
        <v>463</v>
      </c>
      <c r="G346" s="296" t="s">
        <v>980</v>
      </c>
      <c r="H346" s="112" t="s">
        <v>440</v>
      </c>
      <c r="I346" s="133"/>
      <c r="J346" s="133"/>
      <c r="K346" s="401">
        <v>15873000</v>
      </c>
      <c r="L346" s="113" t="s">
        <v>8</v>
      </c>
      <c r="M346" s="113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/>
      </c>
      <c r="P346" s="22" t="str">
        <f>IF(AND($L346=$O$7,$B346&lt;'111'!$N$11),"x","")</f>
        <v/>
      </c>
      <c r="Q346" s="22" t="str">
        <f>IF(AND($M346=$O$7,$B346&lt;'111'!$N$11),"x","")</f>
        <v>x</v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/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>x</v>
      </c>
      <c r="Z346" s="563"/>
    </row>
    <row r="347" spans="1:26" ht="15.75" customHeight="1">
      <c r="A347" s="120" t="str">
        <f>IF(B347&lt;&gt;"",IF(AND(B347&gt;=_TM1,B347&lt;=_TM2,OR(TH!L347="1111",TH!M347="1111")),TH!D347,""),"")</f>
        <v/>
      </c>
      <c r="B347" s="12">
        <f t="shared" si="13"/>
        <v>9</v>
      </c>
      <c r="C347" s="105">
        <f t="shared" si="12"/>
        <v>42632</v>
      </c>
      <c r="D347" s="105" t="s">
        <v>467</v>
      </c>
      <c r="E347" s="110">
        <v>42632</v>
      </c>
      <c r="F347" s="109" t="s">
        <v>482</v>
      </c>
      <c r="G347" s="296" t="s">
        <v>472</v>
      </c>
      <c r="H347" s="4" t="s">
        <v>363</v>
      </c>
      <c r="I347" s="133"/>
      <c r="J347" s="133"/>
      <c r="K347" s="401">
        <v>17681180</v>
      </c>
      <c r="L347" s="402" t="s">
        <v>24</v>
      </c>
      <c r="M347" s="402" t="s">
        <v>251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>x</v>
      </c>
      <c r="T347" s="22" t="str">
        <f>IF(ISERROR(FIND('112'!$M$9,G347,1)),"",IF((AND(RIGHT(G347,2)=RIGHT('112'!$M$9,2),B347&lt;'112'!$N$8,$M347='112'!$I$6)),"x",""))</f>
        <v/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>x</v>
      </c>
      <c r="Z347" s="563"/>
    </row>
    <row r="348" spans="1:26" ht="15.75" customHeight="1">
      <c r="A348" s="120" t="str">
        <f>IF(B348&lt;&gt;"",IF(AND(B348&gt;=_TM1,B348&lt;=_TM2,OR(TH!L348="1111",TH!M348="1111")),TH!D348,""),"")</f>
        <v/>
      </c>
      <c r="B348" s="12">
        <f t="shared" si="13"/>
        <v>9</v>
      </c>
      <c r="C348" s="105">
        <f t="shared" si="12"/>
        <v>42633</v>
      </c>
      <c r="D348" s="105" t="s">
        <v>1013</v>
      </c>
      <c r="E348" s="110">
        <v>42633</v>
      </c>
      <c r="F348" s="109" t="s">
        <v>469</v>
      </c>
      <c r="G348" s="296" t="s">
        <v>472</v>
      </c>
      <c r="H348" s="4" t="s">
        <v>473</v>
      </c>
      <c r="I348" s="133"/>
      <c r="J348" s="133"/>
      <c r="K348" s="13">
        <v>2300000</v>
      </c>
      <c r="L348" s="113" t="s">
        <v>24</v>
      </c>
      <c r="M348" s="113" t="s">
        <v>46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/>
      </c>
      <c r="P348" s="22" t="str">
        <f>IF(AND($L348=$O$7,$B348&lt;'111'!$N$11),"x","")</f>
        <v/>
      </c>
      <c r="Q348" s="22" t="str">
        <f>IF(AND($M348=$O$7,$B348&lt;'111'!$N$11),"x","")</f>
        <v>x</v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>x</v>
      </c>
      <c r="T348" s="22" t="str">
        <f>IF(ISERROR(FIND('112'!$M$9,G348,1)),"",IF((AND(RIGHT(G348,2)=RIGHT('112'!$M$9,2),B348&lt;'112'!$N$8,$M348='112'!$I$6)),"x",""))</f>
        <v/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/>
      </c>
      <c r="Y348" s="22" t="str">
        <f>IF(AND(B348&lt;=NKC!$N$8,B348&gt;=NKC!$M$8),"x","")</f>
        <v>x</v>
      </c>
      <c r="Z348" s="563"/>
    </row>
    <row r="349" spans="1:26" ht="15.75" customHeight="1">
      <c r="A349" s="120" t="str">
        <f>IF(B349&lt;&gt;"",IF(AND(B349&gt;=_TM1,B349&lt;=_TM2,OR(TH!L349="1111",TH!M349="1111")),TH!D349,""),"")</f>
        <v/>
      </c>
      <c r="B349" s="12">
        <f t="shared" si="13"/>
        <v>9</v>
      </c>
      <c r="C349" s="105">
        <f t="shared" si="12"/>
        <v>42633</v>
      </c>
      <c r="D349" s="105" t="s">
        <v>468</v>
      </c>
      <c r="E349" s="110">
        <v>42633</v>
      </c>
      <c r="F349" s="109" t="s">
        <v>477</v>
      </c>
      <c r="G349" s="296" t="s">
        <v>472</v>
      </c>
      <c r="H349" s="112" t="s">
        <v>622</v>
      </c>
      <c r="I349" s="133"/>
      <c r="J349" s="133"/>
      <c r="K349" s="13">
        <v>20000000</v>
      </c>
      <c r="L349" s="113" t="s">
        <v>8</v>
      </c>
      <c r="M349" s="113" t="s">
        <v>24</v>
      </c>
      <c r="N349" s="22" t="str">
        <f>IF(AND('331-CT'!$E$7=TH!H349,OR(L349="331",M349="331")),"331",IF(AND(OR(L349="131",M349="131"),H349='131-CT'!$E$7),"131",""))</f>
        <v>331</v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>x</v>
      </c>
      <c r="Z349" s="563"/>
    </row>
    <row r="350" spans="1:26" ht="15.75" customHeight="1">
      <c r="A350" s="120" t="str">
        <f>IF(B350&lt;&gt;"",IF(AND(B350&gt;=_TM1,B350&lt;=_TM2,OR(TH!L350="1111",TH!M350="1111")),TH!D350,""),"")</f>
        <v/>
      </c>
      <c r="B350" s="12">
        <f t="shared" si="13"/>
        <v>9</v>
      </c>
      <c r="C350" s="105">
        <f t="shared" si="12"/>
        <v>42633</v>
      </c>
      <c r="D350" s="105" t="s">
        <v>468</v>
      </c>
      <c r="E350" s="110">
        <v>42633</v>
      </c>
      <c r="F350" s="109" t="s">
        <v>478</v>
      </c>
      <c r="G350" s="296" t="s">
        <v>472</v>
      </c>
      <c r="H350" s="4"/>
      <c r="I350" s="133"/>
      <c r="J350" s="133"/>
      <c r="K350" s="401">
        <v>20000</v>
      </c>
      <c r="L350" s="113" t="s">
        <v>82</v>
      </c>
      <c r="M350" s="113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>x</v>
      </c>
      <c r="Y350" s="22" t="str">
        <f>IF(AND(B350&lt;=NKC!$N$8,B350&gt;=NKC!$M$8),"x","")</f>
        <v>x</v>
      </c>
      <c r="Z350" s="563">
        <v>3</v>
      </c>
    </row>
    <row r="351" spans="1:26" ht="15.75" customHeight="1">
      <c r="A351" s="120" t="str">
        <f>IF(B351&lt;&gt;"",IF(AND(B351&gt;=_TM1,B351&lt;=_TM2,OR(TH!L351="1111",TH!M351="1111")),TH!D351,""),"")</f>
        <v/>
      </c>
      <c r="B351" s="12">
        <f t="shared" si="13"/>
        <v>9</v>
      </c>
      <c r="C351" s="105">
        <f t="shared" si="12"/>
        <v>42633</v>
      </c>
      <c r="D351" s="105" t="s">
        <v>468</v>
      </c>
      <c r="E351" s="110">
        <v>42633</v>
      </c>
      <c r="F351" s="109" t="s">
        <v>479</v>
      </c>
      <c r="G351" s="296" t="s">
        <v>472</v>
      </c>
      <c r="H351" s="4"/>
      <c r="I351" s="133"/>
      <c r="J351" s="133"/>
      <c r="K351" s="401">
        <v>2000</v>
      </c>
      <c r="L351" s="113" t="s">
        <v>9</v>
      </c>
      <c r="M351" s="113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>x</v>
      </c>
      <c r="Z351" s="563">
        <v>3</v>
      </c>
    </row>
    <row r="352" spans="1:26" ht="15.75" customHeight="1">
      <c r="A352" s="120" t="str">
        <f>IF(B352&lt;&gt;"",IF(AND(B352&gt;=_TM1,B352&lt;=_TM2,OR(TH!L352="1111",TH!M352="1111")),TH!D352,""),"")</f>
        <v/>
      </c>
      <c r="B352" s="12">
        <f t="shared" si="13"/>
        <v>9</v>
      </c>
      <c r="C352" s="105">
        <f t="shared" si="12"/>
        <v>42633</v>
      </c>
      <c r="D352" s="105" t="s">
        <v>468</v>
      </c>
      <c r="E352" s="110">
        <v>42633</v>
      </c>
      <c r="F352" s="109" t="s">
        <v>484</v>
      </c>
      <c r="G352" s="296" t="s">
        <v>472</v>
      </c>
      <c r="H352" s="4"/>
      <c r="I352" s="133"/>
      <c r="J352" s="133"/>
      <c r="K352" s="401">
        <v>20000</v>
      </c>
      <c r="L352" s="113" t="s">
        <v>82</v>
      </c>
      <c r="M352" s="113" t="s">
        <v>24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>x</v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>x</v>
      </c>
      <c r="Y352" s="22" t="str">
        <f>IF(AND(B352&lt;=NKC!$N$8,B352&gt;=NKC!$M$8),"x","")</f>
        <v>x</v>
      </c>
      <c r="Z352" s="563">
        <v>3</v>
      </c>
    </row>
    <row r="353" spans="1:26" ht="15.75" customHeight="1">
      <c r="A353" s="120" t="str">
        <f>IF(B353&lt;&gt;"",IF(AND(B353&gt;=_TM1,B353&lt;=_TM2,OR(TH!L353="1111",TH!M353="1111")),TH!D353,""),"")</f>
        <v/>
      </c>
      <c r="B353" s="12">
        <f t="shared" si="13"/>
        <v>9</v>
      </c>
      <c r="C353" s="105">
        <f t="shared" si="12"/>
        <v>42633</v>
      </c>
      <c r="D353" s="105" t="s">
        <v>468</v>
      </c>
      <c r="E353" s="110">
        <v>42633</v>
      </c>
      <c r="F353" s="109" t="s">
        <v>485</v>
      </c>
      <c r="G353" s="296" t="s">
        <v>472</v>
      </c>
      <c r="H353" s="4"/>
      <c r="I353" s="133"/>
      <c r="J353" s="133"/>
      <c r="K353" s="401">
        <v>2000</v>
      </c>
      <c r="L353" s="113" t="s">
        <v>9</v>
      </c>
      <c r="M353" s="113" t="s">
        <v>24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>x</v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>x</v>
      </c>
      <c r="Z353" s="563">
        <v>3</v>
      </c>
    </row>
    <row r="354" spans="1:26" ht="15.75" customHeight="1">
      <c r="A354" s="120" t="str">
        <f>IF(B354&lt;&gt;"",IF(AND(B354&gt;=_TM1,B354&lt;=_TM2,OR(TH!L354="1111",TH!M354="1111")),TH!D354,""),"")</f>
        <v/>
      </c>
      <c r="B354" s="12">
        <f t="shared" si="13"/>
        <v>9</v>
      </c>
      <c r="C354" s="105">
        <f t="shared" si="12"/>
        <v>42633</v>
      </c>
      <c r="D354" s="105" t="s">
        <v>945</v>
      </c>
      <c r="E354" s="110">
        <v>42633</v>
      </c>
      <c r="F354" s="109" t="s">
        <v>775</v>
      </c>
      <c r="G354" s="298" t="s">
        <v>979</v>
      </c>
      <c r="H354" s="112" t="s">
        <v>778</v>
      </c>
      <c r="I354" s="133">
        <v>22450</v>
      </c>
      <c r="J354" s="133">
        <v>750</v>
      </c>
      <c r="K354" s="13">
        <f>ROUND(I354*J354,0)</f>
        <v>16837500</v>
      </c>
      <c r="L354" s="113" t="s">
        <v>155</v>
      </c>
      <c r="M354" s="113" t="s">
        <v>8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/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>x</v>
      </c>
      <c r="Z354" s="563">
        <v>4</v>
      </c>
    </row>
    <row r="355" spans="1:26" ht="15.75" customHeight="1">
      <c r="A355" s="120" t="str">
        <f>IF(B355&lt;&gt;"",IF(AND(B355&gt;=_TM1,B355&lt;=_TM2,OR(TH!L355="1111",TH!M355="1111")),TH!D355,""),"")</f>
        <v/>
      </c>
      <c r="B355" s="12">
        <f t="shared" si="13"/>
        <v>9</v>
      </c>
      <c r="C355" s="105">
        <f t="shared" si="12"/>
        <v>42633</v>
      </c>
      <c r="D355" s="105" t="s">
        <v>945</v>
      </c>
      <c r="E355" s="110">
        <v>42633</v>
      </c>
      <c r="F355" s="109" t="s">
        <v>776</v>
      </c>
      <c r="G355" s="298" t="s">
        <v>979</v>
      </c>
      <c r="H355" s="112" t="s">
        <v>778</v>
      </c>
      <c r="I355" s="133"/>
      <c r="J355" s="133"/>
      <c r="K355" s="13">
        <v>1683750</v>
      </c>
      <c r="L355" s="113" t="s">
        <v>9</v>
      </c>
      <c r="M355" s="113" t="s">
        <v>8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/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/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>x</v>
      </c>
      <c r="Z355" s="563">
        <v>4</v>
      </c>
    </row>
    <row r="356" spans="1:26" ht="15.75" customHeight="1">
      <c r="A356" s="120" t="str">
        <f>IF(B356&lt;&gt;"",IF(AND(B356&gt;=_TM1,B356&lt;=_TM2,OR(TH!L356="1111",TH!M356="1111")),TH!D356,""),"")</f>
        <v/>
      </c>
      <c r="B356" s="12">
        <f t="shared" si="13"/>
        <v>9</v>
      </c>
      <c r="C356" s="105">
        <f t="shared" si="12"/>
        <v>42633</v>
      </c>
      <c r="D356" s="110" t="s">
        <v>1031</v>
      </c>
      <c r="E356" s="110">
        <v>42633</v>
      </c>
      <c r="F356" s="109" t="s">
        <v>463</v>
      </c>
      <c r="G356" s="298" t="s">
        <v>979</v>
      </c>
      <c r="H356" s="112" t="s">
        <v>778</v>
      </c>
      <c r="I356" s="133"/>
      <c r="J356" s="133"/>
      <c r="K356" s="13">
        <v>18521250</v>
      </c>
      <c r="L356" s="113" t="s">
        <v>8</v>
      </c>
      <c r="M356" s="402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/>
      </c>
      <c r="P356" s="22" t="str">
        <f>IF(AND($L356=$O$7,$B356&lt;'111'!$N$11),"x","")</f>
        <v/>
      </c>
      <c r="Q356" s="22" t="str">
        <f>IF(AND($M356=$O$7,$B356&lt;'111'!$N$11),"x","")</f>
        <v>x</v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/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>x</v>
      </c>
      <c r="Z356" s="563"/>
    </row>
    <row r="357" spans="1:26" ht="15.75" customHeight="1">
      <c r="A357" s="120" t="str">
        <f>IF(B357&lt;&gt;"",IF(AND(B357&gt;=_TM1,B357&lt;=_TM2,OR(TH!L357="1111",TH!M357="1111")),TH!D357,""),"")</f>
        <v/>
      </c>
      <c r="B357" s="12">
        <f t="shared" si="13"/>
        <v>9</v>
      </c>
      <c r="C357" s="105">
        <f t="shared" si="12"/>
        <v>42635</v>
      </c>
      <c r="D357" s="110" t="s">
        <v>1041</v>
      </c>
      <c r="E357" s="110">
        <v>42635</v>
      </c>
      <c r="F357" s="109" t="s">
        <v>469</v>
      </c>
      <c r="G357" s="296" t="s">
        <v>472</v>
      </c>
      <c r="H357" s="4" t="s">
        <v>486</v>
      </c>
      <c r="I357" s="133"/>
      <c r="J357" s="133"/>
      <c r="K357" s="13">
        <v>44000</v>
      </c>
      <c r="L357" s="113" t="s">
        <v>24</v>
      </c>
      <c r="M357" s="113" t="s">
        <v>46</v>
      </c>
      <c r="N357" s="22" t="str">
        <f>IF(AND('331-CT'!$E$7=TH!H357,OR(L357="331",M357="331")),"331",IF(AND(OR(L357="131",M357="131"),H357='131-CT'!$E$7),"131",""))</f>
        <v/>
      </c>
      <c r="O357" s="22" t="str">
        <f>IF(AND($B357&gt;='111'!$N$11,$B357&lt;='111'!$O$11,OR($L357=$O$7,$M357=$O$7)),"x","")</f>
        <v/>
      </c>
      <c r="P357" s="22" t="str">
        <f>IF(AND($L357=$O$7,$B357&lt;'111'!$N$11),"x","")</f>
        <v/>
      </c>
      <c r="Q357" s="22" t="str">
        <f>IF(AND($M357=$O$7,$B357&lt;'111'!$N$11),"x","")</f>
        <v>x</v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>x</v>
      </c>
      <c r="T357" s="22" t="str">
        <f>IF(ISERROR(FIND('112'!$M$9,G357,1)),"",IF((AND(RIGHT(G357,2)=RIGHT('112'!$M$9,2),B357&lt;'112'!$N$8,$M357='112'!$I$6)),"x",""))</f>
        <v/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>x</v>
      </c>
      <c r="Z357" s="563"/>
    </row>
    <row r="358" spans="1:26" ht="15.75" customHeight="1">
      <c r="A358" s="120" t="str">
        <f>IF(B358&lt;&gt;"",IF(AND(B358&gt;=_TM1,B358&lt;=_TM2,OR(TH!L358="1111",TH!M358="1111")),TH!D358,""),"")</f>
        <v/>
      </c>
      <c r="B358" s="12">
        <f t="shared" si="13"/>
        <v>9</v>
      </c>
      <c r="C358" s="105">
        <f t="shared" si="12"/>
        <v>42635</v>
      </c>
      <c r="D358" s="110" t="s">
        <v>1041</v>
      </c>
      <c r="E358" s="110">
        <v>42635</v>
      </c>
      <c r="F358" s="109" t="s">
        <v>469</v>
      </c>
      <c r="G358" s="296" t="s">
        <v>472</v>
      </c>
      <c r="H358" s="4" t="s">
        <v>486</v>
      </c>
      <c r="I358" s="133"/>
      <c r="J358" s="133"/>
      <c r="K358" s="13">
        <v>12295140</v>
      </c>
      <c r="L358" s="113" t="s">
        <v>24</v>
      </c>
      <c r="M358" s="113" t="s">
        <v>46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/>
      </c>
      <c r="P358" s="22" t="str">
        <f>IF(AND($L358=$O$7,$B358&lt;'111'!$N$11),"x","")</f>
        <v/>
      </c>
      <c r="Q358" s="22" t="str">
        <f>IF(AND($M358=$O$7,$B358&lt;'111'!$N$11),"x","")</f>
        <v>x</v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>x</v>
      </c>
      <c r="T358" s="22" t="str">
        <f>IF(ISERROR(FIND('112'!$M$9,G358,1)),"",IF((AND(RIGHT(G358,2)=RIGHT('112'!$M$9,2),B358&lt;'112'!$N$8,$M358='112'!$I$6)),"x",""))</f>
        <v/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/>
      </c>
      <c r="Y358" s="22" t="str">
        <f>IF(AND(B358&lt;=NKC!$N$8,B358&gt;=NKC!$M$8),"x","")</f>
        <v>x</v>
      </c>
      <c r="Z358" s="563"/>
    </row>
    <row r="359" spans="1:26" ht="15.75" customHeight="1">
      <c r="A359" s="120" t="str">
        <f>IF(B359&lt;&gt;"",IF(AND(B359&gt;=_TM1,B359&lt;=_TM2,OR(TH!L359="1111",TH!M359="1111")),TH!D359,""),"")</f>
        <v/>
      </c>
      <c r="B359" s="12">
        <f t="shared" si="13"/>
        <v>9</v>
      </c>
      <c r="C359" s="105">
        <f t="shared" si="12"/>
        <v>42635</v>
      </c>
      <c r="D359" s="105" t="s">
        <v>468</v>
      </c>
      <c r="E359" s="110">
        <v>42635</v>
      </c>
      <c r="F359" s="109" t="s">
        <v>463</v>
      </c>
      <c r="G359" s="296" t="s">
        <v>472</v>
      </c>
      <c r="H359" s="112" t="s">
        <v>440</v>
      </c>
      <c r="I359" s="133"/>
      <c r="J359" s="133"/>
      <c r="K359" s="401">
        <f>12317140-22000</f>
        <v>12295140</v>
      </c>
      <c r="L359" s="113" t="s">
        <v>8</v>
      </c>
      <c r="M359" s="113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>x</v>
      </c>
      <c r="Z359" s="563"/>
    </row>
    <row r="360" spans="1:26" ht="15.75" customHeight="1">
      <c r="A360" s="120" t="str">
        <f>IF(B360&lt;&gt;"",IF(AND(B360&gt;=_TM1,B360&lt;=_TM2,OR(TH!L360="1111",TH!M360="1111")),TH!D360,""),"")</f>
        <v/>
      </c>
      <c r="B360" s="12">
        <f t="shared" si="13"/>
        <v>9</v>
      </c>
      <c r="C360" s="105">
        <f t="shared" ref="C360:C394" si="14">E360</f>
        <v>42635</v>
      </c>
      <c r="D360" s="105" t="s">
        <v>468</v>
      </c>
      <c r="E360" s="110">
        <v>42635</v>
      </c>
      <c r="F360" s="109" t="s">
        <v>478</v>
      </c>
      <c r="G360" s="296" t="s">
        <v>472</v>
      </c>
      <c r="H360" s="4"/>
      <c r="I360" s="133"/>
      <c r="J360" s="133"/>
      <c r="K360" s="401">
        <v>20000</v>
      </c>
      <c r="L360" s="113" t="s">
        <v>82</v>
      </c>
      <c r="M360" s="113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>x</v>
      </c>
      <c r="Y360" s="22" t="str">
        <f>IF(AND(B360&lt;=NKC!$N$8,B360&gt;=NKC!$M$8),"x","")</f>
        <v>x</v>
      </c>
      <c r="Z360" s="563">
        <v>3</v>
      </c>
    </row>
    <row r="361" spans="1:26" ht="15.75" customHeight="1">
      <c r="A361" s="120" t="str">
        <f>IF(B361&lt;&gt;"",IF(AND(B361&gt;=_TM1,B361&lt;=_TM2,OR(TH!L361="1111",TH!M361="1111")),TH!D361,""),"")</f>
        <v/>
      </c>
      <c r="B361" s="12">
        <f t="shared" si="13"/>
        <v>9</v>
      </c>
      <c r="C361" s="105">
        <f t="shared" si="14"/>
        <v>42635</v>
      </c>
      <c r="D361" s="105" t="s">
        <v>468</v>
      </c>
      <c r="E361" s="110">
        <v>42635</v>
      </c>
      <c r="F361" s="109" t="s">
        <v>479</v>
      </c>
      <c r="G361" s="296" t="s">
        <v>472</v>
      </c>
      <c r="H361" s="4"/>
      <c r="I361" s="133"/>
      <c r="J361" s="133"/>
      <c r="K361" s="401">
        <v>2000</v>
      </c>
      <c r="L361" s="113" t="s">
        <v>9</v>
      </c>
      <c r="M361" s="113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>x</v>
      </c>
      <c r="Z361" s="563">
        <v>3</v>
      </c>
    </row>
    <row r="362" spans="1:26" ht="15.75" customHeight="1">
      <c r="A362" s="120" t="str">
        <f>IF(B362&lt;&gt;"",IF(AND(B362&gt;=_TM1,B362&lt;=_TM2,OR(TH!L362="1111",TH!M362="1111")),TH!D362,""),"")</f>
        <v/>
      </c>
      <c r="B362" s="12">
        <f t="shared" si="13"/>
        <v>9</v>
      </c>
      <c r="C362" s="105">
        <f t="shared" si="14"/>
        <v>42635</v>
      </c>
      <c r="D362" s="105" t="s">
        <v>468</v>
      </c>
      <c r="E362" s="110">
        <v>42635</v>
      </c>
      <c r="F362" s="109" t="s">
        <v>484</v>
      </c>
      <c r="G362" s="296" t="s">
        <v>472</v>
      </c>
      <c r="H362" s="4"/>
      <c r="I362" s="133"/>
      <c r="J362" s="133"/>
      <c r="K362" s="401">
        <v>20000</v>
      </c>
      <c r="L362" s="113" t="s">
        <v>82</v>
      </c>
      <c r="M362" s="113" t="s">
        <v>24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>x</v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>x</v>
      </c>
      <c r="Y362" s="22" t="str">
        <f>IF(AND(B362&lt;=NKC!$N$8,B362&gt;=NKC!$M$8),"x","")</f>
        <v>x</v>
      </c>
      <c r="Z362" s="563">
        <v>3</v>
      </c>
    </row>
    <row r="363" spans="1:26" ht="15.75" customHeight="1">
      <c r="A363" s="120" t="str">
        <f>IF(B363&lt;&gt;"",IF(AND(B363&gt;=_TM1,B363&lt;=_TM2,OR(TH!L363="1111",TH!M363="1111")),TH!D363,""),"")</f>
        <v/>
      </c>
      <c r="B363" s="12">
        <f t="shared" si="13"/>
        <v>9</v>
      </c>
      <c r="C363" s="105">
        <f t="shared" si="14"/>
        <v>42635</v>
      </c>
      <c r="D363" s="105" t="s">
        <v>468</v>
      </c>
      <c r="E363" s="110">
        <v>42635</v>
      </c>
      <c r="F363" s="109" t="s">
        <v>485</v>
      </c>
      <c r="G363" s="296" t="s">
        <v>472</v>
      </c>
      <c r="H363" s="4"/>
      <c r="I363" s="133"/>
      <c r="J363" s="133"/>
      <c r="K363" s="401">
        <v>2000</v>
      </c>
      <c r="L363" s="113" t="s">
        <v>9</v>
      </c>
      <c r="M363" s="113" t="s">
        <v>24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>x</v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>x</v>
      </c>
      <c r="Z363" s="563">
        <v>3</v>
      </c>
    </row>
    <row r="364" spans="1:26" ht="15.75" customHeight="1">
      <c r="A364" s="120" t="str">
        <f>IF(B364&lt;&gt;"",IF(AND(B364&gt;=_TM1,B364&lt;=_TM2,OR(TH!L364="1111",TH!M364="1111")),TH!D364,""),"")</f>
        <v/>
      </c>
      <c r="B364" s="12">
        <f t="shared" si="13"/>
        <v>9</v>
      </c>
      <c r="C364" s="105">
        <f t="shared" si="14"/>
        <v>42635</v>
      </c>
      <c r="D364" s="105" t="s">
        <v>608</v>
      </c>
      <c r="E364" s="110">
        <v>42635</v>
      </c>
      <c r="F364" s="109" t="s">
        <v>513</v>
      </c>
      <c r="G364" s="296" t="s">
        <v>755</v>
      </c>
      <c r="H364" s="4" t="s">
        <v>364</v>
      </c>
      <c r="I364" s="133">
        <v>300</v>
      </c>
      <c r="J364" s="133">
        <v>10500</v>
      </c>
      <c r="K364" s="13">
        <f>ROUND(I364*J364,0)</f>
        <v>3150000</v>
      </c>
      <c r="L364" s="113" t="s">
        <v>251</v>
      </c>
      <c r="M364" s="402" t="s">
        <v>168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/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>x</v>
      </c>
      <c r="Z364" s="563"/>
    </row>
    <row r="365" spans="1:26" ht="15.75" customHeight="1">
      <c r="A365" s="120" t="str">
        <f>IF(B365&lt;&gt;"",IF(AND(B365&gt;=_TM1,B365&lt;=_TM2,OR(TH!L365="1111",TH!M365="1111")),TH!D365,""),"")</f>
        <v/>
      </c>
      <c r="B365" s="12">
        <f t="shared" si="13"/>
        <v>9</v>
      </c>
      <c r="C365" s="105">
        <f t="shared" si="14"/>
        <v>42635</v>
      </c>
      <c r="D365" s="105" t="s">
        <v>608</v>
      </c>
      <c r="E365" s="110">
        <v>42635</v>
      </c>
      <c r="F365" s="109" t="s">
        <v>494</v>
      </c>
      <c r="G365" s="296" t="s">
        <v>755</v>
      </c>
      <c r="H365" s="4" t="s">
        <v>364</v>
      </c>
      <c r="I365" s="133"/>
      <c r="J365" s="133"/>
      <c r="K365" s="13">
        <v>315000</v>
      </c>
      <c r="L365" s="113" t="s">
        <v>251</v>
      </c>
      <c r="M365" s="402" t="s">
        <v>350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/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>x</v>
      </c>
      <c r="Z365" s="563"/>
    </row>
    <row r="366" spans="1:26" ht="15.75" customHeight="1">
      <c r="A366" s="120" t="str">
        <f>IF(B366&lt;&gt;"",IF(AND(B366&gt;=_TM1,B366&lt;=_TM2,OR(TH!L366="1111",TH!M366="1111")),TH!D366,""),"")</f>
        <v/>
      </c>
      <c r="B366" s="12">
        <f t="shared" si="13"/>
        <v>9</v>
      </c>
      <c r="C366" s="105">
        <f t="shared" si="14"/>
        <v>42636</v>
      </c>
      <c r="D366" s="110" t="s">
        <v>1042</v>
      </c>
      <c r="E366" s="110">
        <v>42636</v>
      </c>
      <c r="F366" s="109" t="s">
        <v>353</v>
      </c>
      <c r="G366" s="296" t="s">
        <v>978</v>
      </c>
      <c r="H366" s="112" t="s">
        <v>425</v>
      </c>
      <c r="I366" s="133"/>
      <c r="J366" s="133"/>
      <c r="K366" s="401">
        <v>3120000</v>
      </c>
      <c r="L366" s="402" t="s">
        <v>159</v>
      </c>
      <c r="M366" s="402" t="s">
        <v>46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/>
      </c>
      <c r="P366" s="22" t="str">
        <f>IF(AND($L366=$O$7,$B366&lt;'111'!$N$11),"x","")</f>
        <v/>
      </c>
      <c r="Q366" s="22" t="str">
        <f>IF(AND($M366=$O$7,$B366&lt;'111'!$N$11),"x","")</f>
        <v>x</v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/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/>
      </c>
      <c r="Y366" s="22" t="str">
        <f>IF(AND(B366&lt;=NKC!$N$8,B366&gt;=NKC!$M$8),"x","")</f>
        <v>x</v>
      </c>
      <c r="Z366" s="563">
        <v>4</v>
      </c>
    </row>
    <row r="367" spans="1:26" ht="15.75" customHeight="1">
      <c r="A367" s="120" t="str">
        <f>IF(B367&lt;&gt;"",IF(AND(B367&gt;=_TM1,B367&lt;=_TM2,OR(TH!L367="1111",TH!M367="1111")),TH!D367,""),"")</f>
        <v/>
      </c>
      <c r="B367" s="12">
        <f t="shared" si="13"/>
        <v>9</v>
      </c>
      <c r="C367" s="105">
        <f t="shared" si="14"/>
        <v>42636</v>
      </c>
      <c r="D367" s="110" t="s">
        <v>1042</v>
      </c>
      <c r="E367" s="110">
        <v>42636</v>
      </c>
      <c r="F367" s="109" t="s">
        <v>423</v>
      </c>
      <c r="G367" s="296" t="s">
        <v>978</v>
      </c>
      <c r="H367" s="112" t="s">
        <v>425</v>
      </c>
      <c r="I367" s="133"/>
      <c r="J367" s="133"/>
      <c r="K367" s="401">
        <v>312000</v>
      </c>
      <c r="L367" s="402" t="s">
        <v>9</v>
      </c>
      <c r="M367" s="402" t="s">
        <v>46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/>
      </c>
      <c r="P367" s="22" t="str">
        <f>IF(AND($L367=$O$7,$B367&lt;'111'!$N$11),"x","")</f>
        <v/>
      </c>
      <c r="Q367" s="22" t="str">
        <f>IF(AND($M367=$O$7,$B367&lt;'111'!$N$11),"x","")</f>
        <v>x</v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/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>x</v>
      </c>
      <c r="Z367" s="563">
        <v>4</v>
      </c>
    </row>
    <row r="368" spans="1:26" ht="15.75" customHeight="1">
      <c r="A368" s="120" t="str">
        <f>IF(B368&lt;&gt;"",IF(AND(B368&gt;=_TM1,B368&lt;=_TM2,OR(TH!L368="1111",TH!M368="1111")),TH!D368,""),"")</f>
        <v/>
      </c>
      <c r="B368" s="12">
        <f t="shared" si="13"/>
        <v>9</v>
      </c>
      <c r="C368" s="105">
        <f t="shared" si="14"/>
        <v>42638</v>
      </c>
      <c r="D368" s="105" t="s">
        <v>468</v>
      </c>
      <c r="E368" s="110">
        <v>42638</v>
      </c>
      <c r="F368" s="109" t="s">
        <v>475</v>
      </c>
      <c r="G368" s="296" t="s">
        <v>472</v>
      </c>
      <c r="H368" s="4"/>
      <c r="I368" s="133"/>
      <c r="J368" s="133"/>
      <c r="K368" s="13">
        <v>10000</v>
      </c>
      <c r="L368" s="113" t="s">
        <v>82</v>
      </c>
      <c r="M368" s="113" t="s">
        <v>24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/>
      </c>
      <c r="T368" s="22" t="str">
        <f>IF(ISERROR(FIND('112'!$M$9,G368,1)),"",IF((AND(RIGHT(G368,2)=RIGHT('112'!$M$9,2),B368&lt;'112'!$N$8,$M368='112'!$I$6)),"x",""))</f>
        <v>x</v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>x</v>
      </c>
      <c r="Y368" s="22" t="str">
        <f>IF(AND(B368&lt;=NKC!$N$8,B368&gt;=NKC!$M$8),"x","")</f>
        <v>x</v>
      </c>
      <c r="Z368" s="563">
        <v>3</v>
      </c>
    </row>
    <row r="369" spans="1:26" ht="15.75" customHeight="1">
      <c r="A369" s="120" t="str">
        <f>IF(B369&lt;&gt;"",IF(AND(B369&gt;=_TM1,B369&lt;=_TM2,OR(TH!L369="1111",TH!M369="1111")),TH!D369,""),"")</f>
        <v/>
      </c>
      <c r="B369" s="12">
        <f t="shared" si="13"/>
        <v>9</v>
      </c>
      <c r="C369" s="105">
        <f t="shared" si="14"/>
        <v>42638</v>
      </c>
      <c r="D369" s="105" t="s">
        <v>468</v>
      </c>
      <c r="E369" s="110">
        <v>42638</v>
      </c>
      <c r="F369" s="109" t="s">
        <v>476</v>
      </c>
      <c r="G369" s="296" t="s">
        <v>472</v>
      </c>
      <c r="H369" s="4"/>
      <c r="I369" s="133"/>
      <c r="J369" s="133"/>
      <c r="K369" s="13">
        <v>1000</v>
      </c>
      <c r="L369" s="113" t="s">
        <v>9</v>
      </c>
      <c r="M369" s="113" t="s">
        <v>24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/>
      </c>
      <c r="T369" s="22" t="str">
        <f>IF(ISERROR(FIND('112'!$M$9,G369,1)),"",IF((AND(RIGHT(G369,2)=RIGHT('112'!$M$9,2),B369&lt;'112'!$N$8,$M369='112'!$I$6)),"x",""))</f>
        <v>x</v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>x</v>
      </c>
      <c r="Z369" s="563">
        <v>3</v>
      </c>
    </row>
    <row r="370" spans="1:26" ht="15.75" customHeight="1">
      <c r="A370" s="120" t="str">
        <f>IF(B370&lt;&gt;"",IF(AND(B370&gt;=_TM1,B370&lt;=_TM2,OR(TH!L370="1111",TH!M370="1111")),TH!D370,""),"")</f>
        <v/>
      </c>
      <c r="B370" s="12">
        <f t="shared" si="13"/>
        <v>9</v>
      </c>
      <c r="C370" s="105">
        <f t="shared" si="14"/>
        <v>42638</v>
      </c>
      <c r="D370" s="105" t="s">
        <v>467</v>
      </c>
      <c r="E370" s="110">
        <v>42638</v>
      </c>
      <c r="F370" s="109" t="s">
        <v>474</v>
      </c>
      <c r="G370" s="296" t="s">
        <v>472</v>
      </c>
      <c r="H370" s="4"/>
      <c r="I370" s="133"/>
      <c r="J370" s="133"/>
      <c r="K370" s="401">
        <v>2126</v>
      </c>
      <c r="L370" s="113" t="s">
        <v>24</v>
      </c>
      <c r="M370" s="113" t="s">
        <v>39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/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>x</v>
      </c>
      <c r="T370" s="22" t="str">
        <f>IF(ISERROR(FIND('112'!$M$9,G370,1)),"",IF((AND(RIGHT(G370,2)=RIGHT('112'!$M$9,2),B370&lt;'112'!$N$8,$M370='112'!$I$6)),"x",""))</f>
        <v/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>x</v>
      </c>
      <c r="Z370" s="563"/>
    </row>
    <row r="371" spans="1:26" ht="15.75" customHeight="1">
      <c r="A371" s="120" t="str">
        <f>IF(B371&lt;&gt;"",IF(AND(B371&gt;=_TM1,B371&lt;=_TM2,OR(TH!L371="1111",TH!M371="1111")),TH!D371,""),"")</f>
        <v/>
      </c>
      <c r="B371" s="12">
        <f t="shared" si="13"/>
        <v>9</v>
      </c>
      <c r="C371" s="105">
        <f t="shared" si="14"/>
        <v>42639</v>
      </c>
      <c r="D371" s="105" t="s">
        <v>467</v>
      </c>
      <c r="E371" s="110">
        <v>42639</v>
      </c>
      <c r="F371" s="109" t="s">
        <v>482</v>
      </c>
      <c r="G371" s="296" t="s">
        <v>472</v>
      </c>
      <c r="H371" s="4" t="s">
        <v>369</v>
      </c>
      <c r="I371" s="133"/>
      <c r="J371" s="133"/>
      <c r="K371" s="401">
        <v>22226930</v>
      </c>
      <c r="L371" s="402" t="s">
        <v>24</v>
      </c>
      <c r="M371" s="402" t="s">
        <v>251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>x</v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>x</v>
      </c>
      <c r="Z371" s="563"/>
    </row>
    <row r="372" spans="1:26" ht="15.75" customHeight="1">
      <c r="A372" s="120" t="str">
        <f>IF(B372&lt;&gt;"",IF(AND(B372&gt;=_TM1,B372&lt;=_TM2,OR(TH!L372="1111",TH!M372="1111")),TH!D372,""),"")</f>
        <v/>
      </c>
      <c r="B372" s="12">
        <f t="shared" si="13"/>
        <v>9</v>
      </c>
      <c r="C372" s="105">
        <f t="shared" si="14"/>
        <v>42639</v>
      </c>
      <c r="D372" s="105" t="s">
        <v>1040</v>
      </c>
      <c r="E372" s="110">
        <v>42639</v>
      </c>
      <c r="F372" s="109" t="s">
        <v>483</v>
      </c>
      <c r="G372" s="296" t="s">
        <v>472</v>
      </c>
      <c r="H372" s="4" t="s">
        <v>486</v>
      </c>
      <c r="I372" s="133"/>
      <c r="J372" s="133"/>
      <c r="K372" s="401">
        <v>22000000</v>
      </c>
      <c r="L372" s="402" t="s">
        <v>46</v>
      </c>
      <c r="M372" s="402" t="s">
        <v>24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/>
      </c>
      <c r="P372" s="22" t="str">
        <f>IF(AND($L372=$O$7,$B372&lt;'111'!$N$11),"x","")</f>
        <v>x</v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>x</v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>x</v>
      </c>
      <c r="Z372" s="563"/>
    </row>
    <row r="373" spans="1:26" ht="15.75" customHeight="1">
      <c r="A373" s="120" t="str">
        <f>IF(B373&lt;&gt;"",IF(AND(B373&gt;=_TM1,B373&lt;=_TM2,OR(TH!L373="1111",TH!M373="1111")),TH!D373,""),"")</f>
        <v/>
      </c>
      <c r="B373" s="12">
        <f t="shared" si="13"/>
        <v>9</v>
      </c>
      <c r="C373" s="105">
        <f t="shared" si="14"/>
        <v>42639</v>
      </c>
      <c r="D373" s="105" t="s">
        <v>609</v>
      </c>
      <c r="E373" s="110">
        <v>42639</v>
      </c>
      <c r="F373" s="109" t="s">
        <v>547</v>
      </c>
      <c r="G373" s="296" t="s">
        <v>756</v>
      </c>
      <c r="H373" s="4" t="s">
        <v>616</v>
      </c>
      <c r="I373" s="133">
        <v>109</v>
      </c>
      <c r="J373" s="133">
        <v>6400</v>
      </c>
      <c r="K373" s="13">
        <f>ROUND(I373*J373,0)</f>
        <v>697600</v>
      </c>
      <c r="L373" s="113" t="s">
        <v>251</v>
      </c>
      <c r="M373" s="402" t="s">
        <v>168</v>
      </c>
      <c r="N373" s="22" t="str">
        <f>IF(AND('331-CT'!$E$7=TH!H373,OR(L373="331",M373="331")),"331",IF(AND(OR(L373="131",M373="131"),H373='131-CT'!$E$7),"131",""))</f>
        <v/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>x</v>
      </c>
      <c r="Z373" s="563"/>
    </row>
    <row r="374" spans="1:26" ht="15.75" customHeight="1">
      <c r="A374" s="120" t="str">
        <f>IF(B374&lt;&gt;"",IF(AND(B374&gt;=_TM1,B374&lt;=_TM2,OR(TH!L374="1111",TH!M374="1111")),TH!D374,""),"")</f>
        <v/>
      </c>
      <c r="B374" s="12">
        <f t="shared" si="13"/>
        <v>9</v>
      </c>
      <c r="C374" s="105">
        <f t="shared" si="14"/>
        <v>42639</v>
      </c>
      <c r="D374" s="105" t="s">
        <v>609</v>
      </c>
      <c r="E374" s="110">
        <v>42639</v>
      </c>
      <c r="F374" s="109" t="s">
        <v>548</v>
      </c>
      <c r="G374" s="296" t="s">
        <v>756</v>
      </c>
      <c r="H374" s="4" t="s">
        <v>616</v>
      </c>
      <c r="I374" s="133">
        <v>102</v>
      </c>
      <c r="J374" s="133">
        <v>7300</v>
      </c>
      <c r="K374" s="13">
        <f>ROUND(I374*J374,0)</f>
        <v>744600</v>
      </c>
      <c r="L374" s="113" t="s">
        <v>251</v>
      </c>
      <c r="M374" s="402" t="s">
        <v>168</v>
      </c>
      <c r="N374" s="22" t="str">
        <f>IF(AND('331-CT'!$E$7=TH!H374,OR(L374="331",M374="331")),"331",IF(AND(OR(L374="131",M374="131"),H374='131-CT'!$E$7),"131",""))</f>
        <v/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>x</v>
      </c>
      <c r="Z374" s="563"/>
    </row>
    <row r="375" spans="1:26" ht="15.75" customHeight="1">
      <c r="A375" s="120" t="str">
        <f>IF(B375&lt;&gt;"",IF(AND(B375&gt;=_TM1,B375&lt;=_TM2,OR(TH!L375="1111",TH!M375="1111")),TH!D375,""),"")</f>
        <v/>
      </c>
      <c r="B375" s="12">
        <f t="shared" si="13"/>
        <v>9</v>
      </c>
      <c r="C375" s="105">
        <f t="shared" si="14"/>
        <v>42639</v>
      </c>
      <c r="D375" s="105" t="s">
        <v>609</v>
      </c>
      <c r="E375" s="110">
        <v>42639</v>
      </c>
      <c r="F375" s="109" t="s">
        <v>661</v>
      </c>
      <c r="G375" s="296" t="s">
        <v>756</v>
      </c>
      <c r="H375" s="4" t="s">
        <v>616</v>
      </c>
      <c r="I375" s="133">
        <v>56</v>
      </c>
      <c r="J375" s="133">
        <v>11250</v>
      </c>
      <c r="K375" s="13">
        <f>ROUND(I375*J375,0)</f>
        <v>630000</v>
      </c>
      <c r="L375" s="113" t="s">
        <v>251</v>
      </c>
      <c r="M375" s="402" t="s">
        <v>168</v>
      </c>
      <c r="N375" s="22" t="str">
        <f>IF(AND('331-CT'!$E$7=TH!H375,OR(L375="331",M375="331")),"331",IF(AND(OR(L375="131",M375="131"),H375='131-CT'!$E$7),"131",""))</f>
        <v/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>x</v>
      </c>
      <c r="Z375" s="563"/>
    </row>
    <row r="376" spans="1:26" ht="15.75" customHeight="1">
      <c r="A376" s="120" t="str">
        <f>IF(B376&lt;&gt;"",IF(AND(B376&gt;=_TM1,B376&lt;=_TM2,OR(TH!L376="1111",TH!M376="1111")),TH!D376,""),"")</f>
        <v/>
      </c>
      <c r="B376" s="12">
        <f t="shared" si="13"/>
        <v>9</v>
      </c>
      <c r="C376" s="105">
        <f t="shared" si="14"/>
        <v>42639</v>
      </c>
      <c r="D376" s="105" t="s">
        <v>609</v>
      </c>
      <c r="E376" s="110">
        <v>42639</v>
      </c>
      <c r="F376" s="109" t="s">
        <v>494</v>
      </c>
      <c r="G376" s="296" t="s">
        <v>756</v>
      </c>
      <c r="H376" s="4" t="s">
        <v>616</v>
      </c>
      <c r="I376" s="133"/>
      <c r="J376" s="133"/>
      <c r="K376" s="13">
        <v>207220</v>
      </c>
      <c r="L376" s="113" t="s">
        <v>251</v>
      </c>
      <c r="M376" s="402" t="s">
        <v>350</v>
      </c>
      <c r="N376" s="22" t="str">
        <f>IF(AND('331-CT'!$E$7=TH!H376,OR(L376="331",M376="331")),"331",IF(AND(OR(L376="131",M376="131"),H376='131-CT'!$E$7),"131",""))</f>
        <v/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>x</v>
      </c>
      <c r="Z376" s="563"/>
    </row>
    <row r="377" spans="1:26" ht="15.75" customHeight="1">
      <c r="A377" s="120" t="str">
        <f>IF(B377&lt;&gt;"",IF(AND(B377&gt;=_TM1,B377&lt;=_TM2,OR(TH!L377="1111",TH!M377="1111")),TH!D377,""),"")</f>
        <v/>
      </c>
      <c r="B377" s="12">
        <f t="shared" si="13"/>
        <v>9</v>
      </c>
      <c r="C377" s="105">
        <f t="shared" si="14"/>
        <v>42640</v>
      </c>
      <c r="D377" s="105" t="s">
        <v>610</v>
      </c>
      <c r="E377" s="110">
        <v>42640</v>
      </c>
      <c r="F377" s="109" t="s">
        <v>498</v>
      </c>
      <c r="G377" s="296" t="s">
        <v>757</v>
      </c>
      <c r="H377" s="4" t="s">
        <v>369</v>
      </c>
      <c r="I377" s="133">
        <f>202+152+51+51+77</f>
        <v>533</v>
      </c>
      <c r="J377" s="133">
        <v>9400</v>
      </c>
      <c r="K377" s="13">
        <f>ROUND(I377*J377,0)</f>
        <v>5010200</v>
      </c>
      <c r="L377" s="113" t="s">
        <v>251</v>
      </c>
      <c r="M377" s="402" t="s">
        <v>168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>x</v>
      </c>
      <c r="Z377" s="563"/>
    </row>
    <row r="378" spans="1:26" ht="15.75" customHeight="1">
      <c r="A378" s="120" t="str">
        <f>IF(B378&lt;&gt;"",IF(AND(B378&gt;=_TM1,B378&lt;=_TM2,OR(TH!L378="1111",TH!M378="1111")),TH!D378,""),"")</f>
        <v/>
      </c>
      <c r="B378" s="12">
        <f t="shared" si="13"/>
        <v>9</v>
      </c>
      <c r="C378" s="105">
        <f t="shared" si="14"/>
        <v>42640</v>
      </c>
      <c r="D378" s="105" t="s">
        <v>610</v>
      </c>
      <c r="E378" s="110">
        <v>42640</v>
      </c>
      <c r="F378" s="109" t="s">
        <v>494</v>
      </c>
      <c r="G378" s="296" t="s">
        <v>757</v>
      </c>
      <c r="H378" s="4" t="s">
        <v>369</v>
      </c>
      <c r="I378" s="133"/>
      <c r="J378" s="133"/>
      <c r="K378" s="13">
        <v>501020</v>
      </c>
      <c r="L378" s="113" t="s">
        <v>251</v>
      </c>
      <c r="M378" s="402" t="s">
        <v>350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>x</v>
      </c>
      <c r="Z378" s="563"/>
    </row>
    <row r="379" spans="1:26" ht="15.75" customHeight="1">
      <c r="A379" s="120" t="str">
        <f>IF(B379&lt;&gt;"",IF(AND(B379&gt;=_TM1,B379&lt;=_TM2,OR(TH!L379="1111",TH!M379="1111")),TH!D379,""),"")</f>
        <v/>
      </c>
      <c r="B379" s="12">
        <f t="shared" si="13"/>
        <v>9</v>
      </c>
      <c r="C379" s="105">
        <f t="shared" si="14"/>
        <v>42640</v>
      </c>
      <c r="D379" s="105" t="s">
        <v>611</v>
      </c>
      <c r="E379" s="110">
        <v>42640</v>
      </c>
      <c r="F379" s="109" t="s">
        <v>498</v>
      </c>
      <c r="G379" s="296" t="s">
        <v>758</v>
      </c>
      <c r="H379" s="4" t="s">
        <v>369</v>
      </c>
      <c r="I379" s="133">
        <f>51+105</f>
        <v>156</v>
      </c>
      <c r="J379" s="133">
        <v>9400</v>
      </c>
      <c r="K379" s="13">
        <f>ROUND(I379*J379,0)</f>
        <v>1466400</v>
      </c>
      <c r="L379" s="113" t="s">
        <v>251</v>
      </c>
      <c r="M379" s="402" t="s">
        <v>168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>x</v>
      </c>
      <c r="Z379" s="563"/>
    </row>
    <row r="380" spans="1:26" ht="15.75" customHeight="1">
      <c r="A380" s="120" t="str">
        <f>IF(B380&lt;&gt;"",IF(AND(B380&gt;=_TM1,B380&lt;=_TM2,OR(TH!L380="1111",TH!M380="1111")),TH!D380,""),"")</f>
        <v/>
      </c>
      <c r="B380" s="12">
        <f t="shared" si="13"/>
        <v>9</v>
      </c>
      <c r="C380" s="105">
        <f t="shared" si="14"/>
        <v>42640</v>
      </c>
      <c r="D380" s="105" t="s">
        <v>611</v>
      </c>
      <c r="E380" s="110">
        <v>42640</v>
      </c>
      <c r="F380" s="109" t="s">
        <v>652</v>
      </c>
      <c r="G380" s="296" t="s">
        <v>758</v>
      </c>
      <c r="H380" s="4" t="s">
        <v>369</v>
      </c>
      <c r="I380" s="133">
        <f>840+840+840</f>
        <v>2520</v>
      </c>
      <c r="J380" s="133">
        <v>7900</v>
      </c>
      <c r="K380" s="13">
        <f>ROUND(I380*J380,0)</f>
        <v>19908000</v>
      </c>
      <c r="L380" s="113" t="s">
        <v>251</v>
      </c>
      <c r="M380" s="402" t="s">
        <v>168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>x</v>
      </c>
      <c r="Z380" s="563"/>
    </row>
    <row r="381" spans="1:26" ht="15.75" customHeight="1">
      <c r="A381" s="120" t="str">
        <f>IF(B381&lt;&gt;"",IF(AND(B381&gt;=_TM1,B381&lt;=_TM2,OR(TH!L381="1111",TH!M381="1111")),TH!D381,""),"")</f>
        <v/>
      </c>
      <c r="B381" s="12">
        <f t="shared" si="13"/>
        <v>9</v>
      </c>
      <c r="C381" s="105">
        <f t="shared" si="14"/>
        <v>42640</v>
      </c>
      <c r="D381" s="105" t="s">
        <v>611</v>
      </c>
      <c r="E381" s="110">
        <v>42640</v>
      </c>
      <c r="F381" s="109" t="s">
        <v>653</v>
      </c>
      <c r="G381" s="296" t="s">
        <v>758</v>
      </c>
      <c r="H381" s="4" t="s">
        <v>369</v>
      </c>
      <c r="I381" s="133">
        <v>44</v>
      </c>
      <c r="J381" s="133">
        <v>17600</v>
      </c>
      <c r="K381" s="13">
        <f>ROUND(I381*J381,0)</f>
        <v>774400</v>
      </c>
      <c r="L381" s="113" t="s">
        <v>251</v>
      </c>
      <c r="M381" s="402" t="s">
        <v>168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>x</v>
      </c>
      <c r="Z381" s="563"/>
    </row>
    <row r="382" spans="1:26" ht="15.75" customHeight="1">
      <c r="A382" s="120" t="str">
        <f>IF(B382&lt;&gt;"",IF(AND(B382&gt;=_TM1,B382&lt;=_TM2,OR(TH!L382="1111",TH!M382="1111")),TH!D382,""),"")</f>
        <v/>
      </c>
      <c r="B382" s="12">
        <f t="shared" si="13"/>
        <v>9</v>
      </c>
      <c r="C382" s="105">
        <f t="shared" si="14"/>
        <v>42640</v>
      </c>
      <c r="D382" s="105" t="s">
        <v>611</v>
      </c>
      <c r="E382" s="110">
        <v>42640</v>
      </c>
      <c r="F382" s="109" t="s">
        <v>494</v>
      </c>
      <c r="G382" s="296" t="s">
        <v>758</v>
      </c>
      <c r="H382" s="4" t="s">
        <v>369</v>
      </c>
      <c r="I382" s="133"/>
      <c r="J382" s="133"/>
      <c r="K382" s="13">
        <v>2214880</v>
      </c>
      <c r="L382" s="113" t="s">
        <v>251</v>
      </c>
      <c r="M382" s="402" t="s">
        <v>350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>x</v>
      </c>
      <c r="Z382" s="563"/>
    </row>
    <row r="383" spans="1:26" ht="15.75" customHeight="1">
      <c r="A383" s="120" t="str">
        <f>IF(B383&lt;&gt;"",IF(AND(B383&gt;=_TM1,B383&lt;=_TM2,OR(TH!L383="1111",TH!M383="1111")),TH!D383,""),"")</f>
        <v/>
      </c>
      <c r="B383" s="12">
        <f t="shared" si="13"/>
        <v>9</v>
      </c>
      <c r="C383" s="105">
        <f t="shared" si="14"/>
        <v>42640</v>
      </c>
      <c r="D383" s="105" t="s">
        <v>612</v>
      </c>
      <c r="E383" s="110">
        <v>42640</v>
      </c>
      <c r="F383" s="109" t="s">
        <v>530</v>
      </c>
      <c r="G383" s="296" t="s">
        <v>432</v>
      </c>
      <c r="H383" s="4" t="s">
        <v>549</v>
      </c>
      <c r="I383" s="133">
        <f>204+65+40</f>
        <v>309</v>
      </c>
      <c r="J383" s="133">
        <v>10200</v>
      </c>
      <c r="K383" s="13">
        <f>ROUND(I383*J383,0)</f>
        <v>3151800</v>
      </c>
      <c r="L383" s="113" t="s">
        <v>251</v>
      </c>
      <c r="M383" s="402" t="s">
        <v>168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/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>x</v>
      </c>
      <c r="Z383" s="563"/>
    </row>
    <row r="384" spans="1:26" ht="15.75" customHeight="1">
      <c r="A384" s="120" t="str">
        <f>IF(B384&lt;&gt;"",IF(AND(B384&gt;=_TM1,B384&lt;=_TM2,OR(TH!L384="1111",TH!M384="1111")),TH!D384,""),"")</f>
        <v/>
      </c>
      <c r="B384" s="12">
        <f t="shared" si="13"/>
        <v>9</v>
      </c>
      <c r="C384" s="105">
        <f t="shared" si="14"/>
        <v>42640</v>
      </c>
      <c r="D384" s="105" t="s">
        <v>612</v>
      </c>
      <c r="E384" s="110">
        <v>42640</v>
      </c>
      <c r="F384" s="109" t="s">
        <v>540</v>
      </c>
      <c r="G384" s="296" t="s">
        <v>432</v>
      </c>
      <c r="H384" s="4" t="s">
        <v>549</v>
      </c>
      <c r="I384" s="133"/>
      <c r="J384" s="133"/>
      <c r="K384" s="13">
        <v>315180</v>
      </c>
      <c r="L384" s="113" t="s">
        <v>251</v>
      </c>
      <c r="M384" s="402" t="s">
        <v>350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>x</v>
      </c>
      <c r="Z384" s="563"/>
    </row>
    <row r="385" spans="1:26" ht="15.75" customHeight="1">
      <c r="A385" s="120" t="str">
        <f>IF(B385&lt;&gt;"",IF(AND(B385&gt;=_TM1,B385&lt;=_TM2,OR(TH!L385="1111",TH!M385="1111")),TH!D385,""),"")</f>
        <v/>
      </c>
      <c r="B385" s="12">
        <f t="shared" si="13"/>
        <v>9</v>
      </c>
      <c r="C385" s="105">
        <f t="shared" si="14"/>
        <v>42640</v>
      </c>
      <c r="D385" s="105" t="s">
        <v>1039</v>
      </c>
      <c r="E385" s="110">
        <v>42640</v>
      </c>
      <c r="F385" s="111" t="s">
        <v>482</v>
      </c>
      <c r="G385" s="296" t="s">
        <v>432</v>
      </c>
      <c r="H385" s="4" t="s">
        <v>549</v>
      </c>
      <c r="I385" s="133"/>
      <c r="J385" s="133"/>
      <c r="K385" s="13">
        <v>3466980</v>
      </c>
      <c r="L385" s="113" t="s">
        <v>46</v>
      </c>
      <c r="M385" s="402" t="s">
        <v>251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/>
      </c>
      <c r="P385" s="22" t="str">
        <f>IF(AND($L385=$O$7,$B385&lt;'111'!$N$11),"x","")</f>
        <v>x</v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>x</v>
      </c>
      <c r="Z385" s="563"/>
    </row>
    <row r="386" spans="1:26" ht="15.75" customHeight="1">
      <c r="A386" s="120" t="str">
        <f>IF(B386&lt;&gt;"",IF(AND(B386&gt;=_TM1,B386&lt;=_TM2,OR(TH!L386="1111",TH!M386="1111")),TH!D386,""),"")</f>
        <v/>
      </c>
      <c r="B386" s="12">
        <f t="shared" si="13"/>
        <v>9</v>
      </c>
      <c r="C386" s="105">
        <f t="shared" si="14"/>
        <v>42641</v>
      </c>
      <c r="D386" s="105" t="s">
        <v>613</v>
      </c>
      <c r="E386" s="110">
        <v>42641</v>
      </c>
      <c r="F386" s="109" t="s">
        <v>509</v>
      </c>
      <c r="G386" s="296" t="s">
        <v>429</v>
      </c>
      <c r="H386" s="4" t="s">
        <v>616</v>
      </c>
      <c r="I386" s="133">
        <v>211</v>
      </c>
      <c r="J386" s="133">
        <v>12900</v>
      </c>
      <c r="K386" s="13">
        <f>ROUND(I386*J386,0)</f>
        <v>2721900</v>
      </c>
      <c r="L386" s="113" t="s">
        <v>251</v>
      </c>
      <c r="M386" s="402" t="s">
        <v>168</v>
      </c>
      <c r="N386" s="22" t="str">
        <f>IF(AND('331-CT'!$E$7=TH!H386,OR(L386="331",M386="331")),"331",IF(AND(OR(L386="131",M386="131"),H386='131-CT'!$E$7),"131",""))</f>
        <v/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/>
      </c>
      <c r="Y386" s="22" t="str">
        <f>IF(AND(B386&lt;=NKC!$N$8,B386&gt;=NKC!$M$8),"x","")</f>
        <v>x</v>
      </c>
      <c r="Z386" s="563"/>
    </row>
    <row r="387" spans="1:26" ht="15.75" customHeight="1">
      <c r="A387" s="120" t="str">
        <f>IF(B387&lt;&gt;"",IF(AND(B387&gt;=_TM1,B387&lt;=_TM2,OR(TH!L387="1111",TH!M387="1111")),TH!D387,""),"")</f>
        <v/>
      </c>
      <c r="B387" s="12">
        <f t="shared" si="13"/>
        <v>9</v>
      </c>
      <c r="C387" s="105">
        <f t="shared" si="14"/>
        <v>42641</v>
      </c>
      <c r="D387" s="105" t="s">
        <v>613</v>
      </c>
      <c r="E387" s="110">
        <v>42641</v>
      </c>
      <c r="F387" s="109" t="s">
        <v>494</v>
      </c>
      <c r="G387" s="296" t="s">
        <v>429</v>
      </c>
      <c r="H387" s="4" t="s">
        <v>616</v>
      </c>
      <c r="I387" s="133"/>
      <c r="J387" s="133"/>
      <c r="K387" s="13">
        <v>272190</v>
      </c>
      <c r="L387" s="113" t="s">
        <v>251</v>
      </c>
      <c r="M387" s="402" t="s">
        <v>350</v>
      </c>
      <c r="N387" s="22" t="str">
        <f>IF(AND('331-CT'!$E$7=TH!H387,OR(L387="331",M387="331")),"331",IF(AND(OR(L387="131",M387="131"),H387='131-CT'!$E$7),"131",""))</f>
        <v/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>x</v>
      </c>
      <c r="Z387" s="563"/>
    </row>
    <row r="388" spans="1:26" ht="15.75" customHeight="1">
      <c r="A388" s="120" t="str">
        <f>IF(B388&lt;&gt;"",IF(AND(B388&gt;=_TM1,B388&lt;=_TM2,OR(TH!L388="1111",TH!M388="1111")),TH!D388,""),"")</f>
        <v/>
      </c>
      <c r="B388" s="580">
        <f t="shared" si="13"/>
        <v>9</v>
      </c>
      <c r="C388" s="557">
        <f t="shared" si="14"/>
        <v>42643</v>
      </c>
      <c r="D388" s="557" t="s">
        <v>323</v>
      </c>
      <c r="E388" s="557">
        <v>42643</v>
      </c>
      <c r="F388" s="560" t="s">
        <v>819</v>
      </c>
      <c r="G388" s="576"/>
      <c r="H388" s="577"/>
      <c r="I388" s="559"/>
      <c r="J388" s="559"/>
      <c r="K388" s="562">
        <v>4375000</v>
      </c>
      <c r="L388" s="578" t="s">
        <v>82</v>
      </c>
      <c r="M388" s="578" t="s">
        <v>254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/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>x</v>
      </c>
      <c r="Y388" s="22" t="str">
        <f>IF(AND(B388&lt;=NKC!$N$8,B388&gt;=NKC!$M$8),"x","")</f>
        <v>x</v>
      </c>
      <c r="Z388" s="579"/>
    </row>
    <row r="389" spans="1:26" ht="15.75" customHeight="1">
      <c r="A389" s="120" t="str">
        <f>IF(B389&lt;&gt;"",IF(AND(B389&gt;=_TM1,B389&lt;=_TM2,OR(TH!L389="1111",TH!M389="1111")),TH!D389,""),"")</f>
        <v/>
      </c>
      <c r="B389" s="580">
        <f t="shared" si="13"/>
        <v>9</v>
      </c>
      <c r="C389" s="557">
        <f t="shared" si="14"/>
        <v>42643</v>
      </c>
      <c r="D389" s="557" t="s">
        <v>323</v>
      </c>
      <c r="E389" s="557">
        <v>42643</v>
      </c>
      <c r="F389" s="560" t="s">
        <v>820</v>
      </c>
      <c r="G389" s="576"/>
      <c r="H389" s="577"/>
      <c r="I389" s="559"/>
      <c r="J389" s="559"/>
      <c r="K389" s="562">
        <v>13900000</v>
      </c>
      <c r="L389" s="578" t="s">
        <v>159</v>
      </c>
      <c r="M389" s="578" t="s">
        <v>254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/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>x</v>
      </c>
      <c r="Z389" s="579"/>
    </row>
    <row r="390" spans="1:26" ht="15.75" customHeight="1">
      <c r="A390" s="120" t="str">
        <f>IF(B390&lt;&gt;"",IF(AND(B390&gt;=_TM1,B390&lt;=_TM2,OR(TH!L390="1111",TH!M390="1111")),TH!D390,""),"")</f>
        <v/>
      </c>
      <c r="B390" s="580">
        <f t="shared" si="13"/>
        <v>9</v>
      </c>
      <c r="C390" s="557">
        <f t="shared" si="14"/>
        <v>42643</v>
      </c>
      <c r="D390" s="557" t="s">
        <v>1043</v>
      </c>
      <c r="E390" s="557">
        <v>42643</v>
      </c>
      <c r="F390" s="560" t="str">
        <f>"Thanh toán tiền lương tháng "&amp;MONTH(E390)&amp;"/"&amp;YEAR(E390)</f>
        <v>Thanh toán tiền lương tháng 9/2016</v>
      </c>
      <c r="G390" s="576"/>
      <c r="H390" s="577" t="s">
        <v>794</v>
      </c>
      <c r="I390" s="559"/>
      <c r="J390" s="559"/>
      <c r="K390" s="562">
        <f>K388+K389</f>
        <v>18275000</v>
      </c>
      <c r="L390" s="578" t="s">
        <v>254</v>
      </c>
      <c r="M390" s="578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/>
      </c>
      <c r="P390" s="22" t="str">
        <f>IF(AND($L390=$O$7,$B390&lt;'111'!$N$11),"x","")</f>
        <v/>
      </c>
      <c r="Q390" s="22" t="str">
        <f>IF(AND($M390=$O$7,$B390&lt;'111'!$N$11),"x","")</f>
        <v>x</v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>x</v>
      </c>
      <c r="Z390" s="579"/>
    </row>
    <row r="391" spans="1:26" ht="15.75" customHeight="1">
      <c r="A391" s="120" t="str">
        <f>IF(B391&lt;&gt;"",IF(AND(B391&gt;=_TM1,B391&lt;=_TM2,OR(TH!L391="1111",TH!M391="1111")),TH!D391,""),"")</f>
        <v/>
      </c>
      <c r="B391" s="12">
        <f t="shared" si="13"/>
        <v>9</v>
      </c>
      <c r="C391" s="105">
        <f t="shared" si="14"/>
        <v>42643</v>
      </c>
      <c r="D391" s="110" t="s">
        <v>1044</v>
      </c>
      <c r="E391" s="105">
        <v>42643</v>
      </c>
      <c r="F391" s="109" t="s">
        <v>353</v>
      </c>
      <c r="G391" s="296" t="s">
        <v>449</v>
      </c>
      <c r="H391" s="112" t="s">
        <v>421</v>
      </c>
      <c r="I391" s="133"/>
      <c r="J391" s="133"/>
      <c r="K391" s="401">
        <v>2050000</v>
      </c>
      <c r="L391" s="402" t="s">
        <v>159</v>
      </c>
      <c r="M391" s="402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/>
      </c>
      <c r="P391" s="22" t="str">
        <f>IF(AND($L391=$O$7,$B391&lt;'111'!$N$11),"x","")</f>
        <v/>
      </c>
      <c r="Q391" s="22" t="str">
        <f>IF(AND($M391=$O$7,$B391&lt;'111'!$N$11),"x","")</f>
        <v>x</v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>x</v>
      </c>
      <c r="Z391" s="563">
        <v>4</v>
      </c>
    </row>
    <row r="392" spans="1:26" ht="15.75" customHeight="1">
      <c r="A392" s="120" t="str">
        <f>IF(B392&lt;&gt;"",IF(AND(B392&gt;=_TM1,B392&lt;=_TM2,OR(TH!L392="1111",TH!M392="1111")),TH!D392,""),"")</f>
        <v/>
      </c>
      <c r="B392" s="12">
        <f t="shared" si="13"/>
        <v>9</v>
      </c>
      <c r="C392" s="105">
        <f t="shared" si="14"/>
        <v>42643</v>
      </c>
      <c r="D392" s="110" t="s">
        <v>1044</v>
      </c>
      <c r="E392" s="105">
        <v>42643</v>
      </c>
      <c r="F392" s="109" t="s">
        <v>423</v>
      </c>
      <c r="G392" s="296" t="s">
        <v>449</v>
      </c>
      <c r="H392" s="112" t="s">
        <v>421</v>
      </c>
      <c r="I392" s="133"/>
      <c r="J392" s="133"/>
      <c r="K392" s="401">
        <v>205000</v>
      </c>
      <c r="L392" s="402" t="s">
        <v>9</v>
      </c>
      <c r="M392" s="402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/>
      </c>
      <c r="P392" s="22" t="str">
        <f>IF(AND($L392=$O$7,$B392&lt;'111'!$N$11),"x","")</f>
        <v/>
      </c>
      <c r="Q392" s="22" t="str">
        <f>IF(AND($M392=$O$7,$B392&lt;'111'!$N$11),"x","")</f>
        <v>x</v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>x</v>
      </c>
      <c r="Z392" s="563">
        <v>4</v>
      </c>
    </row>
    <row r="393" spans="1:26" ht="15.75" customHeight="1">
      <c r="A393" s="120" t="str">
        <f>IF(B393&lt;&gt;"",IF(AND(B393&gt;=_TM1,B393&lt;=_TM2,OR(TH!L393="1111",TH!M393="1111")),TH!D393,""),"")</f>
        <v/>
      </c>
      <c r="B393" s="12">
        <f t="shared" si="13"/>
        <v>9</v>
      </c>
      <c r="C393" s="105">
        <f t="shared" si="14"/>
        <v>42643</v>
      </c>
      <c r="D393" s="110" t="s">
        <v>1045</v>
      </c>
      <c r="E393" s="105">
        <v>42643</v>
      </c>
      <c r="F393" s="109" t="s">
        <v>624</v>
      </c>
      <c r="G393" s="296"/>
      <c r="H393" s="112" t="s">
        <v>486</v>
      </c>
      <c r="I393" s="133"/>
      <c r="J393" s="133"/>
      <c r="K393" s="401">
        <f>(8*15000+5*20000+6*10000+4*30000+1*40000)/1.1</f>
        <v>399999.99999999994</v>
      </c>
      <c r="L393" s="402" t="s">
        <v>253</v>
      </c>
      <c r="M393" s="402" t="s">
        <v>46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/>
      </c>
      <c r="P393" s="22" t="str">
        <f>IF(AND($L393=$O$7,$B393&lt;'111'!$N$11),"x","")</f>
        <v/>
      </c>
      <c r="Q393" s="22" t="str">
        <f>IF(AND($M393=$O$7,$B393&lt;'111'!$N$11),"x","")</f>
        <v>x</v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/>
      </c>
      <c r="Y393" s="22" t="str">
        <f>IF(AND(B393&lt;=NKC!$N$8,B393&gt;=NKC!$M$8),"x","")</f>
        <v>x</v>
      </c>
      <c r="Z393" s="563">
        <v>3</v>
      </c>
    </row>
    <row r="394" spans="1:26" ht="15.75" customHeight="1">
      <c r="A394" s="120" t="str">
        <f>IF(B394&lt;&gt;"",IF(AND(B394&gt;=_TM1,B394&lt;=_TM2,OR(TH!L394="1111",TH!M394="1111")),TH!D394,""),"")</f>
        <v/>
      </c>
      <c r="B394" s="12">
        <f t="shared" si="13"/>
        <v>9</v>
      </c>
      <c r="C394" s="105">
        <f t="shared" si="14"/>
        <v>42643</v>
      </c>
      <c r="D394" s="110" t="s">
        <v>1045</v>
      </c>
      <c r="E394" s="105">
        <v>42643</v>
      </c>
      <c r="F394" s="109" t="s">
        <v>625</v>
      </c>
      <c r="G394" s="296"/>
      <c r="H394" s="112"/>
      <c r="I394" s="133"/>
      <c r="J394" s="133"/>
      <c r="K394" s="401">
        <v>40000</v>
      </c>
      <c r="L394" s="402" t="s">
        <v>9</v>
      </c>
      <c r="M394" s="402" t="s">
        <v>46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/>
      </c>
      <c r="P394" s="22" t="str">
        <f>IF(AND($L394=$O$7,$B394&lt;'111'!$N$11),"x","")</f>
        <v/>
      </c>
      <c r="Q394" s="22" t="str">
        <f>IF(AND($M394=$O$7,$B394&lt;'111'!$N$11),"x","")</f>
        <v>x</v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>x</v>
      </c>
      <c r="Z394" s="563">
        <v>3</v>
      </c>
    </row>
    <row r="395" spans="1:26" ht="15.75" customHeight="1">
      <c r="A395" s="120" t="str">
        <f>IF(B395&lt;&gt;"",IF(AND(B395&gt;=_TM1,B395&lt;=_TM2,OR(TH!L395="1111",TH!M395="1111")),TH!D395,""),"")</f>
        <v/>
      </c>
      <c r="B395" s="12">
        <f t="shared" si="13"/>
        <v>9</v>
      </c>
      <c r="C395" s="105">
        <v>42643</v>
      </c>
      <c r="D395" s="110" t="s">
        <v>323</v>
      </c>
      <c r="E395" s="105">
        <v>42576</v>
      </c>
      <c r="F395" s="109" t="s">
        <v>798</v>
      </c>
      <c r="G395" s="296" t="s">
        <v>432</v>
      </c>
      <c r="H395" s="112" t="s">
        <v>622</v>
      </c>
      <c r="I395" s="133"/>
      <c r="J395" s="133"/>
      <c r="K395" s="401">
        <v>37000000</v>
      </c>
      <c r="L395" s="402" t="s">
        <v>82</v>
      </c>
      <c r="M395" s="113" t="s">
        <v>8</v>
      </c>
      <c r="N395" s="22" t="str">
        <f>IF(AND('331-CT'!$E$7=TH!H395,OR(L395="331",M395="331")),"331",IF(AND(OR(L395="131",M395="131"),H395='131-CT'!$E$7),"131",""))</f>
        <v>331</v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>x</v>
      </c>
      <c r="Y395" s="22" t="str">
        <f>IF(AND(B395&lt;=NKC!$N$8,B395&gt;=NKC!$M$8),"x","")</f>
        <v>x</v>
      </c>
      <c r="Z395" s="563">
        <v>3</v>
      </c>
    </row>
    <row r="396" spans="1:26" ht="15.75" customHeight="1">
      <c r="A396" s="120" t="str">
        <f>IF(B396&lt;&gt;"",IF(AND(B396&gt;=_TM1,B396&lt;=_TM2,OR(TH!L396="1111",TH!M396="1111")),TH!D396,""),"")</f>
        <v/>
      </c>
      <c r="B396" s="12">
        <f t="shared" si="13"/>
        <v>9</v>
      </c>
      <c r="C396" s="105">
        <v>42643</v>
      </c>
      <c r="D396" s="110" t="s">
        <v>323</v>
      </c>
      <c r="E396" s="105">
        <v>42576</v>
      </c>
      <c r="F396" s="109" t="s">
        <v>433</v>
      </c>
      <c r="G396" s="296" t="s">
        <v>432</v>
      </c>
      <c r="H396" s="112" t="s">
        <v>622</v>
      </c>
      <c r="I396" s="133"/>
      <c r="J396" s="133"/>
      <c r="K396" s="401">
        <v>3700000</v>
      </c>
      <c r="L396" s="402" t="s">
        <v>9</v>
      </c>
      <c r="M396" s="113" t="s">
        <v>8</v>
      </c>
      <c r="N396" s="22" t="str">
        <f>IF(AND('331-CT'!$E$7=TH!H396,OR(L396="331",M396="331")),"331",IF(AND(OR(L396="131",M396="131"),H396='131-CT'!$E$7),"131",""))</f>
        <v>331</v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>x</v>
      </c>
      <c r="Z396" s="563">
        <v>3</v>
      </c>
    </row>
    <row r="397" spans="1:26" ht="15.75" customHeight="1">
      <c r="A397" s="120" t="str">
        <f>IF(B397&lt;&gt;"",IF(AND(B397&gt;=_TM1,B397&lt;=_TM2,OR(TH!L397="1111",TH!M397="1111")),TH!D397,""),"")</f>
        <v/>
      </c>
      <c r="B397" s="12">
        <f t="shared" si="13"/>
        <v>9</v>
      </c>
      <c r="C397" s="105">
        <v>42643</v>
      </c>
      <c r="D397" s="110" t="s">
        <v>323</v>
      </c>
      <c r="E397" s="105">
        <v>42602</v>
      </c>
      <c r="F397" s="109" t="s">
        <v>977</v>
      </c>
      <c r="G397" s="298" t="s">
        <v>434</v>
      </c>
      <c r="H397" s="112" t="s">
        <v>622</v>
      </c>
      <c r="I397" s="133"/>
      <c r="J397" s="133"/>
      <c r="K397" s="401">
        <v>37000000</v>
      </c>
      <c r="L397" s="402" t="s">
        <v>82</v>
      </c>
      <c r="M397" s="113" t="s">
        <v>8</v>
      </c>
      <c r="N397" s="22" t="str">
        <f>IF(AND('331-CT'!$E$7=TH!H397,OR(L397="331",M397="331")),"331",IF(AND(OR(L397="131",M397="131"),H397='131-CT'!$E$7),"131",""))</f>
        <v>331</v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>x</v>
      </c>
      <c r="Y397" s="22" t="str">
        <f>IF(AND(B397&lt;=NKC!$N$8,B397&gt;=NKC!$M$8),"x","")</f>
        <v>x</v>
      </c>
      <c r="Z397" s="563">
        <v>3</v>
      </c>
    </row>
    <row r="398" spans="1:26" ht="15.75" customHeight="1">
      <c r="A398" s="120" t="str">
        <f>IF(B398&lt;&gt;"",IF(AND(B398&gt;=_TM1,B398&lt;=_TM2,OR(TH!L398="1111",TH!M398="1111")),TH!D398,""),"")</f>
        <v/>
      </c>
      <c r="B398" s="12">
        <f t="shared" si="13"/>
        <v>9</v>
      </c>
      <c r="C398" s="105">
        <v>42643</v>
      </c>
      <c r="D398" s="110" t="s">
        <v>323</v>
      </c>
      <c r="E398" s="105">
        <v>42602</v>
      </c>
      <c r="F398" s="109" t="s">
        <v>433</v>
      </c>
      <c r="G398" s="298" t="s">
        <v>434</v>
      </c>
      <c r="H398" s="112" t="s">
        <v>622</v>
      </c>
      <c r="I398" s="133"/>
      <c r="J398" s="133"/>
      <c r="K398" s="401">
        <v>3700000</v>
      </c>
      <c r="L398" s="402" t="s">
        <v>9</v>
      </c>
      <c r="M398" s="113" t="s">
        <v>8</v>
      </c>
      <c r="N398" s="22" t="str">
        <f>IF(AND('331-CT'!$E$7=TH!H398,OR(L398="331",M398="331")),"331",IF(AND(OR(L398="131",M398="131"),H398='131-CT'!$E$7),"131",""))</f>
        <v>331</v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>x</v>
      </c>
      <c r="Z398" s="563">
        <v>3</v>
      </c>
    </row>
    <row r="399" spans="1:26" ht="15.75" customHeight="1">
      <c r="A399" s="120" t="str">
        <f>IF(B399&lt;&gt;"",IF(AND(B399&gt;=_TM1,B399&lt;=_TM2,OR(TH!L399="1111",TH!M399="1111")),TH!D399,""),"")</f>
        <v/>
      </c>
      <c r="B399" s="12">
        <f t="shared" si="13"/>
        <v>9</v>
      </c>
      <c r="C399" s="105">
        <v>42643</v>
      </c>
      <c r="D399" s="110" t="s">
        <v>323</v>
      </c>
      <c r="E399" s="105">
        <v>42638</v>
      </c>
      <c r="F399" s="109" t="s">
        <v>976</v>
      </c>
      <c r="G399" s="298" t="s">
        <v>813</v>
      </c>
      <c r="H399" s="112" t="s">
        <v>622</v>
      </c>
      <c r="I399" s="133"/>
      <c r="J399" s="133"/>
      <c r="K399" s="401">
        <v>37000000</v>
      </c>
      <c r="L399" s="402" t="s">
        <v>82</v>
      </c>
      <c r="M399" s="113" t="s">
        <v>8</v>
      </c>
      <c r="N399" s="22" t="str">
        <f>IF(AND('331-CT'!$E$7=TH!H399,OR(L399="331",M399="331")),"331",IF(AND(OR(L399="131",M399="131"),H399='131-CT'!$E$7),"131",""))</f>
        <v>331</v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>x</v>
      </c>
      <c r="Y399" s="22" t="str">
        <f>IF(AND(B399&lt;=NKC!$N$8,B399&gt;=NKC!$M$8),"x","")</f>
        <v>x</v>
      </c>
      <c r="Z399" s="563">
        <v>4</v>
      </c>
    </row>
    <row r="400" spans="1:26" ht="15.75" customHeight="1">
      <c r="A400" s="120" t="str">
        <f>IF(B400&lt;&gt;"",IF(AND(B400&gt;=_TM1,B400&lt;=_TM2,OR(TH!L400="1111",TH!M400="1111")),TH!D400,""),"")</f>
        <v/>
      </c>
      <c r="B400" s="12">
        <f t="shared" si="13"/>
        <v>9</v>
      </c>
      <c r="C400" s="105">
        <v>42643</v>
      </c>
      <c r="D400" s="110" t="s">
        <v>323</v>
      </c>
      <c r="E400" s="105">
        <v>42638</v>
      </c>
      <c r="F400" s="109" t="s">
        <v>433</v>
      </c>
      <c r="G400" s="298" t="s">
        <v>813</v>
      </c>
      <c r="H400" s="112" t="s">
        <v>622</v>
      </c>
      <c r="I400" s="133"/>
      <c r="J400" s="133"/>
      <c r="K400" s="401">
        <v>3700000</v>
      </c>
      <c r="L400" s="402" t="s">
        <v>9</v>
      </c>
      <c r="M400" s="113" t="s">
        <v>8</v>
      </c>
      <c r="N400" s="22" t="str">
        <f>IF(AND('331-CT'!$E$7=TH!H400,OR(L400="331",M400="331")),"331",IF(AND(OR(L400="131",M400="131"),H400='131-CT'!$E$7),"131",""))</f>
        <v>331</v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>x</v>
      </c>
      <c r="Z400" s="563">
        <v>4</v>
      </c>
    </row>
    <row r="401" spans="1:26" ht="15.75" customHeight="1">
      <c r="A401" s="120" t="str">
        <f>IF(B401&lt;&gt;"",IF(AND(B401&gt;=_TM1,B401&lt;=_TM2,OR(TH!L401="1111",TH!M401="1111")),TH!D401,""),"")</f>
        <v/>
      </c>
      <c r="B401" s="12">
        <f t="shared" ref="B401:B464" si="15">IF(C401&lt;&gt;"",MONTH(C401),"")</f>
        <v>9</v>
      </c>
      <c r="C401" s="105">
        <f>E401</f>
        <v>42643</v>
      </c>
      <c r="D401" s="105" t="s">
        <v>467</v>
      </c>
      <c r="E401" s="110">
        <v>42643</v>
      </c>
      <c r="F401" s="109" t="s">
        <v>482</v>
      </c>
      <c r="G401" s="296" t="s">
        <v>472</v>
      </c>
      <c r="H401" s="4" t="s">
        <v>369</v>
      </c>
      <c r="I401" s="133"/>
      <c r="J401" s="133"/>
      <c r="K401" s="401">
        <v>19101500</v>
      </c>
      <c r="L401" s="402" t="s">
        <v>24</v>
      </c>
      <c r="M401" s="402" t="s">
        <v>251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>x</v>
      </c>
      <c r="Z401" s="563"/>
    </row>
    <row r="402" spans="1:26" ht="15.75" customHeight="1">
      <c r="A402" s="120" t="str">
        <f>IF(B402&lt;&gt;"",IF(AND(B402&gt;=_TM1,B402&lt;=_TM2,OR(TH!L402="1111",TH!M402="1111")),TH!D402,""),"")</f>
        <v/>
      </c>
      <c r="B402" s="12">
        <f t="shared" si="15"/>
        <v>10</v>
      </c>
      <c r="C402" s="557">
        <f>E402</f>
        <v>42644</v>
      </c>
      <c r="D402" s="557" t="s">
        <v>323</v>
      </c>
      <c r="E402" s="557">
        <v>42644</v>
      </c>
      <c r="F402" s="560" t="s">
        <v>818</v>
      </c>
      <c r="G402" s="558"/>
      <c r="H402" s="577"/>
      <c r="I402" s="559"/>
      <c r="J402" s="559"/>
      <c r="K402" s="562">
        <v>13250000</v>
      </c>
      <c r="L402" s="578" t="s">
        <v>159</v>
      </c>
      <c r="M402" s="578" t="s">
        <v>252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/>
      </c>
      <c r="Z402" s="579"/>
    </row>
    <row r="403" spans="1:26" ht="15.75" customHeight="1">
      <c r="A403" s="120" t="str">
        <f>IF(B403&lt;&gt;"",IF(AND(B403&gt;=_TM1,B403&lt;=_TM2,OR(TH!L403="1111",TH!M403="1111")),TH!D403,""),"")</f>
        <v>C01</v>
      </c>
      <c r="B403" s="12">
        <f t="shared" si="15"/>
        <v>10</v>
      </c>
      <c r="C403" s="105">
        <v>42644</v>
      </c>
      <c r="D403" s="110" t="s">
        <v>450</v>
      </c>
      <c r="E403" s="105">
        <v>42643</v>
      </c>
      <c r="F403" s="109" t="s">
        <v>771</v>
      </c>
      <c r="G403" s="296" t="s">
        <v>975</v>
      </c>
      <c r="H403" s="112" t="s">
        <v>407</v>
      </c>
      <c r="I403" s="133"/>
      <c r="J403" s="133"/>
      <c r="K403" s="401">
        <v>1000000</v>
      </c>
      <c r="L403" s="402" t="s">
        <v>253</v>
      </c>
      <c r="M403" s="402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>x</v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/>
      </c>
      <c r="Z403" s="563">
        <v>4</v>
      </c>
    </row>
    <row r="404" spans="1:26" ht="15.75" customHeight="1">
      <c r="A404" s="120" t="str">
        <f>IF(B404&lt;&gt;"",IF(AND(B404&gt;=_TM1,B404&lt;=_TM2,OR(TH!L404="1111",TH!M404="1111")),TH!D404,""),"")</f>
        <v>C01</v>
      </c>
      <c r="B404" s="12">
        <f t="shared" si="15"/>
        <v>10</v>
      </c>
      <c r="C404" s="105">
        <v>42644</v>
      </c>
      <c r="D404" s="110" t="s">
        <v>450</v>
      </c>
      <c r="E404" s="105">
        <v>42643</v>
      </c>
      <c r="F404" s="109" t="s">
        <v>772</v>
      </c>
      <c r="G404" s="296" t="s">
        <v>975</v>
      </c>
      <c r="H404" s="112" t="s">
        <v>407</v>
      </c>
      <c r="I404" s="133"/>
      <c r="J404" s="133"/>
      <c r="K404" s="401">
        <v>100000</v>
      </c>
      <c r="L404" s="402" t="s">
        <v>9</v>
      </c>
      <c r="M404" s="402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>x</v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/>
      </c>
      <c r="Z404" s="563">
        <v>4</v>
      </c>
    </row>
    <row r="405" spans="1:26" ht="15.75" customHeight="1">
      <c r="A405" s="120" t="str">
        <f>IF(B405&lt;&gt;"",IF(AND(B405&gt;=_TM1,B405&lt;=_TM2,OR(TH!L405="1111",TH!M405="1111")),TH!D405,""),"")</f>
        <v>C02</v>
      </c>
      <c r="B405" s="12">
        <f t="shared" si="15"/>
        <v>10</v>
      </c>
      <c r="C405" s="105">
        <f t="shared" ref="C405:C468" si="16">E405</f>
        <v>42644</v>
      </c>
      <c r="D405" s="110" t="s">
        <v>451</v>
      </c>
      <c r="E405" s="110">
        <v>42644</v>
      </c>
      <c r="F405" s="109" t="s">
        <v>784</v>
      </c>
      <c r="G405" s="298" t="s">
        <v>783</v>
      </c>
      <c r="H405" s="4" t="s">
        <v>782</v>
      </c>
      <c r="I405" s="135"/>
      <c r="J405" s="135"/>
      <c r="K405" s="13">
        <v>3910000</v>
      </c>
      <c r="L405" s="113" t="s">
        <v>82</v>
      </c>
      <c r="M405" s="402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>x</v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>x</v>
      </c>
      <c r="Y405" s="22" t="str">
        <f>IF(AND(B405&lt;=NKC!$N$8,B405&gt;=NKC!$M$8),"x","")</f>
        <v/>
      </c>
      <c r="Z405" s="563">
        <v>4</v>
      </c>
    </row>
    <row r="406" spans="1:26" ht="15.75" customHeight="1">
      <c r="A406" s="120" t="str">
        <f>IF(B406&lt;&gt;"",IF(AND(B406&gt;=_TM1,B406&lt;=_TM2,OR(TH!L406="1111",TH!M406="1111")),TH!D406,""),"")</f>
        <v>C02</v>
      </c>
      <c r="B406" s="12">
        <f t="shared" si="15"/>
        <v>10</v>
      </c>
      <c r="C406" s="105">
        <f t="shared" si="16"/>
        <v>42644</v>
      </c>
      <c r="D406" s="110" t="s">
        <v>451</v>
      </c>
      <c r="E406" s="110">
        <v>42644</v>
      </c>
      <c r="F406" s="109" t="s">
        <v>785</v>
      </c>
      <c r="G406" s="298" t="s">
        <v>783</v>
      </c>
      <c r="H406" s="4" t="s">
        <v>782</v>
      </c>
      <c r="I406" s="135"/>
      <c r="J406" s="135"/>
      <c r="K406" s="13">
        <v>391000</v>
      </c>
      <c r="L406" s="113" t="s">
        <v>9</v>
      </c>
      <c r="M406" s="402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>x</v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/>
      </c>
      <c r="Z406" s="563">
        <v>4</v>
      </c>
    </row>
    <row r="407" spans="1:26" ht="15.75" customHeight="1">
      <c r="A407" s="120" t="str">
        <f>IF(B407&lt;&gt;"",IF(AND(B407&gt;=_TM1,B407&lt;=_TM2,OR(TH!L407="1111",TH!M407="1111")),TH!D407,""),"")</f>
        <v>T01</v>
      </c>
      <c r="B407" s="12">
        <f t="shared" si="15"/>
        <v>10</v>
      </c>
      <c r="C407" s="105">
        <f t="shared" si="16"/>
        <v>42646</v>
      </c>
      <c r="D407" s="110" t="s">
        <v>343</v>
      </c>
      <c r="E407" s="110">
        <v>42646</v>
      </c>
      <c r="F407" s="111" t="s">
        <v>483</v>
      </c>
      <c r="G407" s="111" t="s">
        <v>472</v>
      </c>
      <c r="H407" s="112" t="s">
        <v>486</v>
      </c>
      <c r="I407" s="133"/>
      <c r="J407" s="133"/>
      <c r="K407" s="13">
        <v>19000000</v>
      </c>
      <c r="L407" s="113" t="s">
        <v>46</v>
      </c>
      <c r="M407" s="402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>x</v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/>
      </c>
      <c r="Z407" s="563"/>
    </row>
    <row r="408" spans="1:26" ht="15.75" customHeight="1">
      <c r="A408" s="120" t="str">
        <f>IF(B408&lt;&gt;"",IF(AND(B408&gt;=_TM1,B408&lt;=_TM2,OR(TH!L408="1111",TH!M408="1111")),TH!D408,""),"")</f>
        <v>C03</v>
      </c>
      <c r="B408" s="12">
        <f t="shared" si="15"/>
        <v>10</v>
      </c>
      <c r="C408" s="105">
        <f t="shared" si="16"/>
        <v>42646</v>
      </c>
      <c r="D408" s="110" t="s">
        <v>452</v>
      </c>
      <c r="E408" s="110">
        <v>42646</v>
      </c>
      <c r="F408" s="109" t="s">
        <v>771</v>
      </c>
      <c r="G408" s="298" t="s">
        <v>696</v>
      </c>
      <c r="H408" s="125" t="s">
        <v>695</v>
      </c>
      <c r="I408" s="133"/>
      <c r="J408" s="133"/>
      <c r="K408" s="13">
        <v>5100454</v>
      </c>
      <c r="L408" s="113" t="s">
        <v>253</v>
      </c>
      <c r="M408" s="402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>x</v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/>
      </c>
      <c r="Z408" s="563">
        <v>4</v>
      </c>
    </row>
    <row r="409" spans="1:26" ht="15.75" customHeight="1">
      <c r="A409" s="120" t="str">
        <f>IF(B409&lt;&gt;"",IF(AND(B409&gt;=_TM1,B409&lt;=_TM2,OR(TH!L409="1111",TH!M409="1111")),TH!D409,""),"")</f>
        <v>C03</v>
      </c>
      <c r="B409" s="12">
        <f t="shared" si="15"/>
        <v>10</v>
      </c>
      <c r="C409" s="105">
        <f t="shared" si="16"/>
        <v>42646</v>
      </c>
      <c r="D409" s="110" t="s">
        <v>452</v>
      </c>
      <c r="E409" s="110">
        <v>42646</v>
      </c>
      <c r="F409" s="109" t="s">
        <v>772</v>
      </c>
      <c r="G409" s="298" t="s">
        <v>696</v>
      </c>
      <c r="H409" s="125" t="s">
        <v>695</v>
      </c>
      <c r="I409" s="133"/>
      <c r="J409" s="133"/>
      <c r="K409" s="13">
        <v>510046</v>
      </c>
      <c r="L409" s="113" t="s">
        <v>9</v>
      </c>
      <c r="M409" s="402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>x</v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/>
      </c>
      <c r="Z409" s="563">
        <v>4</v>
      </c>
    </row>
    <row r="410" spans="1:26" ht="15.75" customHeight="1">
      <c r="A410" s="120" t="str">
        <f>IF(B410&lt;&gt;"",IF(AND(B410&gt;=_TM1,B410&lt;=_TM2,OR(TH!L410="1111",TH!M410="1111")),TH!D410,""),"")</f>
        <v>C04</v>
      </c>
      <c r="B410" s="12">
        <f t="shared" si="15"/>
        <v>10</v>
      </c>
      <c r="C410" s="105">
        <f t="shared" si="16"/>
        <v>42647</v>
      </c>
      <c r="D410" s="110" t="s">
        <v>455</v>
      </c>
      <c r="E410" s="110">
        <v>42647</v>
      </c>
      <c r="F410" s="109" t="s">
        <v>469</v>
      </c>
      <c r="G410" s="111" t="s">
        <v>472</v>
      </c>
      <c r="H410" s="112" t="s">
        <v>486</v>
      </c>
      <c r="I410" s="133"/>
      <c r="J410" s="135"/>
      <c r="K410" s="13">
        <v>50000000</v>
      </c>
      <c r="L410" s="113" t="s">
        <v>24</v>
      </c>
      <c r="M410" s="402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>x</v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/>
      </c>
      <c r="Z410" s="563"/>
    </row>
    <row r="411" spans="1:26" ht="15.75" customHeight="1">
      <c r="A411" s="120" t="str">
        <f>IF(B411&lt;&gt;"",IF(AND(B411&gt;=_TM1,B411&lt;=_TM2,OR(TH!L411="1111",TH!M411="1111")),TH!D411,""),"")</f>
        <v/>
      </c>
      <c r="B411" s="12">
        <f t="shared" si="15"/>
        <v>10</v>
      </c>
      <c r="C411" s="105">
        <f t="shared" si="16"/>
        <v>42647</v>
      </c>
      <c r="D411" s="105" t="s">
        <v>468</v>
      </c>
      <c r="E411" s="110">
        <v>42647</v>
      </c>
      <c r="F411" s="111" t="s">
        <v>463</v>
      </c>
      <c r="G411" s="111" t="s">
        <v>472</v>
      </c>
      <c r="H411" s="547" t="s">
        <v>397</v>
      </c>
      <c r="I411" s="133"/>
      <c r="J411" s="133"/>
      <c r="K411" s="13">
        <v>50000000</v>
      </c>
      <c r="L411" s="113" t="s">
        <v>8</v>
      </c>
      <c r="M411" s="402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/>
      </c>
      <c r="Z411" s="563"/>
    </row>
    <row r="412" spans="1:26" ht="15.75" customHeight="1">
      <c r="A412" s="120" t="str">
        <f>IF(B412&lt;&gt;"",IF(AND(B412&gt;=_TM1,B412&lt;=_TM2,OR(TH!L412="1111",TH!M412="1111")),TH!D412,""),"")</f>
        <v/>
      </c>
      <c r="B412" s="12">
        <f t="shared" si="15"/>
        <v>10</v>
      </c>
      <c r="C412" s="105">
        <f t="shared" si="16"/>
        <v>42647</v>
      </c>
      <c r="D412" s="105" t="s">
        <v>468</v>
      </c>
      <c r="E412" s="110">
        <v>42647</v>
      </c>
      <c r="F412" s="111" t="s">
        <v>478</v>
      </c>
      <c r="G412" s="111" t="s">
        <v>472</v>
      </c>
      <c r="H412" s="125"/>
      <c r="I412" s="133"/>
      <c r="J412" s="133"/>
      <c r="K412" s="13">
        <v>10000</v>
      </c>
      <c r="L412" s="113" t="s">
        <v>82</v>
      </c>
      <c r="M412" s="402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>x</v>
      </c>
      <c r="Y412" s="22" t="str">
        <f>IF(AND(B412&lt;=NKC!$N$8,B412&gt;=NKC!$M$8),"x","")</f>
        <v/>
      </c>
      <c r="Z412" s="563">
        <v>4</v>
      </c>
    </row>
    <row r="413" spans="1:26" ht="15.75" customHeight="1">
      <c r="A413" s="120" t="str">
        <f>IF(B413&lt;&gt;"",IF(AND(B413&gt;=_TM1,B413&lt;=_TM2,OR(TH!L413="1111",TH!M413="1111")),TH!D413,""),"")</f>
        <v/>
      </c>
      <c r="B413" s="12">
        <f t="shared" si="15"/>
        <v>10</v>
      </c>
      <c r="C413" s="105">
        <f t="shared" si="16"/>
        <v>42647</v>
      </c>
      <c r="D413" s="105" t="s">
        <v>468</v>
      </c>
      <c r="E413" s="110">
        <v>42647</v>
      </c>
      <c r="F413" s="111" t="s">
        <v>479</v>
      </c>
      <c r="G413" s="111" t="s">
        <v>472</v>
      </c>
      <c r="H413" s="125"/>
      <c r="I413" s="135"/>
      <c r="J413" s="135"/>
      <c r="K413" s="13">
        <v>1000</v>
      </c>
      <c r="L413" s="113" t="s">
        <v>9</v>
      </c>
      <c r="M413" s="402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/>
      </c>
      <c r="Z413" s="563">
        <v>4</v>
      </c>
    </row>
    <row r="414" spans="1:26" ht="15.75" customHeight="1">
      <c r="A414" s="120" t="str">
        <f>IF(B414&lt;&gt;"",IF(AND(B414&gt;=_TM1,B414&lt;=_TM2,OR(TH!L414="1111",TH!M414="1111")),TH!D414,""),"")</f>
        <v/>
      </c>
      <c r="B414" s="12">
        <f t="shared" si="15"/>
        <v>10</v>
      </c>
      <c r="C414" s="105">
        <f t="shared" si="16"/>
        <v>42647</v>
      </c>
      <c r="D414" s="105" t="s">
        <v>550</v>
      </c>
      <c r="E414" s="110">
        <v>42647</v>
      </c>
      <c r="F414" s="109" t="s">
        <v>800</v>
      </c>
      <c r="G414" s="296" t="s">
        <v>799</v>
      </c>
      <c r="H414" s="4" t="s">
        <v>364</v>
      </c>
      <c r="I414" s="133">
        <v>423</v>
      </c>
      <c r="J414" s="133">
        <v>8800</v>
      </c>
      <c r="K414" s="13">
        <f>ROUND(I414*J414,0)</f>
        <v>3722400</v>
      </c>
      <c r="L414" s="113" t="s">
        <v>251</v>
      </c>
      <c r="M414" s="402" t="s">
        <v>168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/>
      </c>
      <c r="Z414" s="563"/>
    </row>
    <row r="415" spans="1:26" ht="15.75" customHeight="1">
      <c r="A415" s="120" t="str">
        <f>IF(B415&lt;&gt;"",IF(AND(B415&gt;=_TM1,B415&lt;=_TM2,OR(TH!L415="1111",TH!M415="1111")),TH!D415,""),"")</f>
        <v/>
      </c>
      <c r="B415" s="12">
        <f t="shared" si="15"/>
        <v>10</v>
      </c>
      <c r="C415" s="105">
        <f t="shared" si="16"/>
        <v>42647</v>
      </c>
      <c r="D415" s="105" t="s">
        <v>550</v>
      </c>
      <c r="E415" s="110">
        <v>42647</v>
      </c>
      <c r="F415" s="109" t="s">
        <v>494</v>
      </c>
      <c r="G415" s="296" t="s">
        <v>799</v>
      </c>
      <c r="H415" s="4" t="s">
        <v>364</v>
      </c>
      <c r="I415" s="133"/>
      <c r="J415" s="133"/>
      <c r="K415" s="13">
        <v>372240</v>
      </c>
      <c r="L415" s="113" t="s">
        <v>251</v>
      </c>
      <c r="M415" s="402" t="s">
        <v>350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/>
      </c>
      <c r="Z415" s="563"/>
    </row>
    <row r="416" spans="1:26" ht="15.75" customHeight="1">
      <c r="A416" s="120" t="str">
        <f>IF(B416&lt;&gt;"",IF(AND(B416&gt;=_TM1,B416&lt;=_TM2,OR(TH!L416="1111",TH!M416="1111")),TH!D416,""),"")</f>
        <v/>
      </c>
      <c r="B416" s="12">
        <f t="shared" si="15"/>
        <v>10</v>
      </c>
      <c r="C416" s="105">
        <f t="shared" si="16"/>
        <v>42647</v>
      </c>
      <c r="D416" s="105" t="s">
        <v>551</v>
      </c>
      <c r="E416" s="110">
        <v>42647</v>
      </c>
      <c r="F416" s="109" t="s">
        <v>802</v>
      </c>
      <c r="G416" s="296" t="s">
        <v>801</v>
      </c>
      <c r="H416" s="4" t="s">
        <v>367</v>
      </c>
      <c r="I416" s="133">
        <v>943</v>
      </c>
      <c r="J416" s="133">
        <v>7135</v>
      </c>
      <c r="K416" s="13">
        <f>ROUND(I416*J416,0)</f>
        <v>6728305</v>
      </c>
      <c r="L416" s="113" t="s">
        <v>251</v>
      </c>
      <c r="M416" s="402" t="s">
        <v>168</v>
      </c>
      <c r="N416" s="22" t="str">
        <f>IF(AND('331-CT'!$E$7=TH!H416,OR(L416="331",M416="331")),"331",IF(AND(OR(L416="131",M416="131"),H416='131-CT'!$E$7),"131",""))</f>
        <v>131</v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/>
      </c>
      <c r="Z416" s="563"/>
    </row>
    <row r="417" spans="1:26" ht="15.75" customHeight="1">
      <c r="A417" s="120" t="str">
        <f>IF(B417&lt;&gt;"",IF(AND(B417&gt;=_TM1,B417&lt;=_TM2,OR(TH!L417="1111",TH!M417="1111")),TH!D417,""),"")</f>
        <v/>
      </c>
      <c r="B417" s="12">
        <f t="shared" si="15"/>
        <v>10</v>
      </c>
      <c r="C417" s="105">
        <f t="shared" si="16"/>
        <v>42647</v>
      </c>
      <c r="D417" s="105" t="s">
        <v>551</v>
      </c>
      <c r="E417" s="110">
        <v>42647</v>
      </c>
      <c r="F417" s="109" t="s">
        <v>803</v>
      </c>
      <c r="G417" s="296" t="s">
        <v>801</v>
      </c>
      <c r="H417" s="4" t="s">
        <v>367</v>
      </c>
      <c r="I417" s="133">
        <v>270</v>
      </c>
      <c r="J417" s="133">
        <v>8719</v>
      </c>
      <c r="K417" s="13">
        <f>ROUND(I417*J417,0)</f>
        <v>2354130</v>
      </c>
      <c r="L417" s="113" t="s">
        <v>251</v>
      </c>
      <c r="M417" s="402" t="s">
        <v>168</v>
      </c>
      <c r="N417" s="22" t="str">
        <f>IF(AND('331-CT'!$E$7=TH!H417,OR(L417="331",M417="331")),"331",IF(AND(OR(L417="131",M417="131"),H417='131-CT'!$E$7),"131",""))</f>
        <v>131</v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/>
      </c>
      <c r="Z417" s="563"/>
    </row>
    <row r="418" spans="1:26" ht="15.75" customHeight="1">
      <c r="A418" s="120" t="str">
        <f>IF(B418&lt;&gt;"",IF(AND(B418&gt;=_TM1,B418&lt;=_TM2,OR(TH!L418="1111",TH!M418="1111")),TH!D418,""),"")</f>
        <v/>
      </c>
      <c r="B418" s="12">
        <f t="shared" si="15"/>
        <v>10</v>
      </c>
      <c r="C418" s="105">
        <f t="shared" si="16"/>
        <v>42647</v>
      </c>
      <c r="D418" s="105" t="s">
        <v>551</v>
      </c>
      <c r="E418" s="110">
        <v>42647</v>
      </c>
      <c r="F418" s="109" t="s">
        <v>494</v>
      </c>
      <c r="G418" s="296" t="s">
        <v>801</v>
      </c>
      <c r="H418" s="4" t="s">
        <v>367</v>
      </c>
      <c r="I418" s="133"/>
      <c r="J418" s="133"/>
      <c r="K418" s="13">
        <v>908243</v>
      </c>
      <c r="L418" s="113" t="s">
        <v>251</v>
      </c>
      <c r="M418" s="402" t="s">
        <v>350</v>
      </c>
      <c r="N418" s="22" t="str">
        <f>IF(AND('331-CT'!$E$7=TH!H418,OR(L418="331",M418="331")),"331",IF(AND(OR(L418="131",M418="131"),H418='131-CT'!$E$7),"131",""))</f>
        <v>131</v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/>
      </c>
      <c r="Z418" s="563"/>
    </row>
    <row r="419" spans="1:26" ht="15.75" customHeight="1">
      <c r="A419" s="120" t="str">
        <f>IF(B419&lt;&gt;"",IF(AND(B419&gt;=_TM1,B419&lt;=_TM2,OR(TH!L419="1111",TH!M419="1111")),TH!D419,""),"")</f>
        <v>T02</v>
      </c>
      <c r="B419" s="12">
        <f t="shared" si="15"/>
        <v>10</v>
      </c>
      <c r="C419" s="105">
        <f t="shared" si="16"/>
        <v>42647</v>
      </c>
      <c r="D419" s="105" t="s">
        <v>344</v>
      </c>
      <c r="E419" s="110">
        <v>42647</v>
      </c>
      <c r="F419" s="111" t="s">
        <v>482</v>
      </c>
      <c r="G419" s="296" t="s">
        <v>801</v>
      </c>
      <c r="H419" s="4" t="s">
        <v>367</v>
      </c>
      <c r="I419" s="133"/>
      <c r="J419" s="133"/>
      <c r="K419" s="13">
        <v>9990678</v>
      </c>
      <c r="L419" s="113" t="s">
        <v>46</v>
      </c>
      <c r="M419" s="402" t="s">
        <v>251</v>
      </c>
      <c r="N419" s="22" t="str">
        <f>IF(AND('331-CT'!$E$7=TH!H419,OR(L419="331",M419="331")),"331",IF(AND(OR(L419="131",M419="131"),H419='131-CT'!$E$7),"131",""))</f>
        <v>131</v>
      </c>
      <c r="O419" s="22" t="str">
        <f>IF(AND($B419&gt;='111'!$N$11,$B419&lt;='111'!$O$11,OR($L419=$O$7,$M419=$O$7)),"x","")</f>
        <v>x</v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/>
      </c>
      <c r="Z419" s="563"/>
    </row>
    <row r="420" spans="1:26" ht="15.75" customHeight="1">
      <c r="A420" s="120" t="str">
        <f>IF(B420&lt;&gt;"",IF(AND(B420&gt;=_TM1,B420&lt;=_TM2,OR(TH!L420="1111",TH!M420="1111")),TH!D420,""),"")</f>
        <v>T03</v>
      </c>
      <c r="B420" s="12">
        <f t="shared" si="15"/>
        <v>10</v>
      </c>
      <c r="C420" s="105">
        <f t="shared" si="16"/>
        <v>42648</v>
      </c>
      <c r="D420" s="105" t="s">
        <v>348</v>
      </c>
      <c r="E420" s="110">
        <v>42648</v>
      </c>
      <c r="F420" s="111" t="s">
        <v>482</v>
      </c>
      <c r="G420" s="296" t="s">
        <v>1021</v>
      </c>
      <c r="H420" s="4" t="s">
        <v>616</v>
      </c>
      <c r="I420" s="133"/>
      <c r="J420" s="133"/>
      <c r="K420" s="13">
        <f>2994090+2192080+6443525+2279420</f>
        <v>13909115</v>
      </c>
      <c r="L420" s="113" t="s">
        <v>46</v>
      </c>
      <c r="M420" s="402" t="s">
        <v>251</v>
      </c>
      <c r="N420" s="22" t="str">
        <f>IF(AND('331-CT'!$E$7=TH!H420,OR(L420="331",M420="331")),"331",IF(AND(OR(L420="131",M420="131"),H420='131-CT'!$E$7),"131",""))</f>
        <v/>
      </c>
      <c r="O420" s="22" t="str">
        <f>IF(AND($B420&gt;='111'!$N$11,$B420&lt;='111'!$O$11,OR($L420=$O$7,$M420=$O$7)),"x","")</f>
        <v>x</v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/>
      </c>
      <c r="Z420" s="563"/>
    </row>
    <row r="421" spans="1:26" ht="15.75" customHeight="1">
      <c r="A421" s="120" t="str">
        <f>IF(B421&lt;&gt;"",IF(AND(B421&gt;=_TM1,B421&lt;=_TM2,OR(TH!L421="1111",TH!M421="1111")),TH!D421,""),"")</f>
        <v/>
      </c>
      <c r="B421" s="12">
        <f t="shared" si="15"/>
        <v>10</v>
      </c>
      <c r="C421" s="105">
        <f t="shared" si="16"/>
        <v>42648</v>
      </c>
      <c r="D421" s="105" t="s">
        <v>552</v>
      </c>
      <c r="E421" s="110">
        <v>42648</v>
      </c>
      <c r="F421" s="109" t="s">
        <v>805</v>
      </c>
      <c r="G421" s="296" t="s">
        <v>804</v>
      </c>
      <c r="H421" s="4" t="s">
        <v>616</v>
      </c>
      <c r="I421" s="133">
        <v>305</v>
      </c>
      <c r="J421" s="133">
        <v>9400</v>
      </c>
      <c r="K421" s="13">
        <f>ROUND(I421*J421,0)</f>
        <v>2867000</v>
      </c>
      <c r="L421" s="113" t="s">
        <v>251</v>
      </c>
      <c r="M421" s="402" t="s">
        <v>168</v>
      </c>
      <c r="N421" s="22" t="str">
        <f>IF(AND('331-CT'!$E$7=TH!H421,OR(L421="331",M421="331")),"331",IF(AND(OR(L421="131",M421="131"),H421='131-CT'!$E$7),"131",""))</f>
        <v/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/>
      </c>
      <c r="Z421" s="563"/>
    </row>
    <row r="422" spans="1:26" ht="15.75" customHeight="1">
      <c r="A422" s="120" t="str">
        <f>IF(B422&lt;&gt;"",IF(AND(B422&gt;=_TM1,B422&lt;=_TM2,OR(TH!L422="1111",TH!M422="1111")),TH!D422,""),"")</f>
        <v/>
      </c>
      <c r="B422" s="12">
        <f t="shared" si="15"/>
        <v>10</v>
      </c>
      <c r="C422" s="105">
        <f t="shared" si="16"/>
        <v>42648</v>
      </c>
      <c r="D422" s="105" t="s">
        <v>552</v>
      </c>
      <c r="E422" s="110">
        <v>42648</v>
      </c>
      <c r="F422" s="109" t="s">
        <v>806</v>
      </c>
      <c r="G422" s="296" t="s">
        <v>804</v>
      </c>
      <c r="H422" s="4" t="s">
        <v>616</v>
      </c>
      <c r="I422" s="133">
        <v>55</v>
      </c>
      <c r="J422" s="133">
        <v>12000</v>
      </c>
      <c r="K422" s="13">
        <f>ROUND(I422*J422,0)</f>
        <v>660000</v>
      </c>
      <c r="L422" s="113" t="s">
        <v>251</v>
      </c>
      <c r="M422" s="402" t="s">
        <v>168</v>
      </c>
      <c r="N422" s="22" t="str">
        <f>IF(AND('331-CT'!$E$7=TH!H422,OR(L422="331",M422="331")),"331",IF(AND(OR(L422="131",M422="131"),H422='131-CT'!$E$7),"131",""))</f>
        <v/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/>
      </c>
      <c r="Z422" s="563"/>
    </row>
    <row r="423" spans="1:26" ht="15.75" customHeight="1">
      <c r="A423" s="120" t="str">
        <f>IF(B423&lt;&gt;"",IF(AND(B423&gt;=_TM1,B423&lt;=_TM2,OR(TH!L423="1111",TH!M423="1111")),TH!D423,""),"")</f>
        <v/>
      </c>
      <c r="B423" s="12">
        <f t="shared" si="15"/>
        <v>10</v>
      </c>
      <c r="C423" s="105">
        <f t="shared" si="16"/>
        <v>42648</v>
      </c>
      <c r="D423" s="105" t="s">
        <v>552</v>
      </c>
      <c r="E423" s="110">
        <v>42648</v>
      </c>
      <c r="F423" s="109" t="s">
        <v>807</v>
      </c>
      <c r="G423" s="296" t="s">
        <v>804</v>
      </c>
      <c r="H423" s="4" t="s">
        <v>616</v>
      </c>
      <c r="I423" s="133">
        <v>205</v>
      </c>
      <c r="J423" s="133">
        <v>3200</v>
      </c>
      <c r="K423" s="13">
        <f>ROUND(I423*J423,0)</f>
        <v>656000</v>
      </c>
      <c r="L423" s="113" t="s">
        <v>251</v>
      </c>
      <c r="M423" s="402" t="s">
        <v>168</v>
      </c>
      <c r="N423" s="22" t="str">
        <f>IF(AND('331-CT'!$E$7=TH!H423,OR(L423="331",M423="331")),"331",IF(AND(OR(L423="131",M423="131"),H423='131-CT'!$E$7),"131",""))</f>
        <v/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/>
      </c>
      <c r="Z423" s="563"/>
    </row>
    <row r="424" spans="1:26" ht="15.75" customHeight="1">
      <c r="A424" s="120" t="str">
        <f>IF(B424&lt;&gt;"",IF(AND(B424&gt;=_TM1,B424&lt;=_TM2,OR(TH!L424="1111",TH!M424="1111")),TH!D424,""),"")</f>
        <v/>
      </c>
      <c r="B424" s="12">
        <f t="shared" si="15"/>
        <v>10</v>
      </c>
      <c r="C424" s="105">
        <f t="shared" si="16"/>
        <v>42648</v>
      </c>
      <c r="D424" s="105" t="s">
        <v>552</v>
      </c>
      <c r="E424" s="110">
        <v>42648</v>
      </c>
      <c r="F424" s="109" t="s">
        <v>494</v>
      </c>
      <c r="G424" s="296" t="s">
        <v>804</v>
      </c>
      <c r="H424" s="4" t="s">
        <v>616</v>
      </c>
      <c r="I424" s="133"/>
      <c r="J424" s="133"/>
      <c r="K424" s="13">
        <v>418300</v>
      </c>
      <c r="L424" s="113" t="s">
        <v>251</v>
      </c>
      <c r="M424" s="402" t="s">
        <v>350</v>
      </c>
      <c r="N424" s="22" t="str">
        <f>IF(AND('331-CT'!$E$7=TH!H424,OR(L424="331",M424="331")),"331",IF(AND(OR(L424="131",M424="131"),H424='131-CT'!$E$7),"131",""))</f>
        <v/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/>
      </c>
      <c r="Z424" s="563"/>
    </row>
    <row r="425" spans="1:26" ht="15.75" customHeight="1">
      <c r="A425" s="120" t="str">
        <f>IF(B425&lt;&gt;"",IF(AND(B425&gt;=_TM1,B425&lt;=_TM2,OR(TH!L425="1111",TH!M425="1111")),TH!D425,""),"")</f>
        <v/>
      </c>
      <c r="B425" s="12">
        <f t="shared" si="15"/>
        <v>10</v>
      </c>
      <c r="C425" s="105">
        <f t="shared" si="16"/>
        <v>42648</v>
      </c>
      <c r="D425" s="105" t="s">
        <v>553</v>
      </c>
      <c r="E425" s="110">
        <v>42648</v>
      </c>
      <c r="F425" s="109" t="s">
        <v>518</v>
      </c>
      <c r="G425" s="296" t="s">
        <v>808</v>
      </c>
      <c r="H425" s="4" t="s">
        <v>363</v>
      </c>
      <c r="I425" s="133">
        <v>320</v>
      </c>
      <c r="J425" s="133">
        <v>5000</v>
      </c>
      <c r="K425" s="13">
        <f>ROUND(I425*J425,0)</f>
        <v>1600000</v>
      </c>
      <c r="L425" s="113" t="s">
        <v>251</v>
      </c>
      <c r="M425" s="402" t="s">
        <v>168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/>
      </c>
      <c r="Z425" s="563"/>
    </row>
    <row r="426" spans="1:26" ht="15.75" customHeight="1">
      <c r="A426" s="120" t="str">
        <f>IF(B426&lt;&gt;"",IF(AND(B426&gt;=_TM1,B426&lt;=_TM2,OR(TH!L426="1111",TH!M426="1111")),TH!D426,""),"")</f>
        <v/>
      </c>
      <c r="B426" s="12">
        <f t="shared" si="15"/>
        <v>10</v>
      </c>
      <c r="C426" s="105">
        <f t="shared" si="16"/>
        <v>42648</v>
      </c>
      <c r="D426" s="105" t="s">
        <v>553</v>
      </c>
      <c r="E426" s="110">
        <v>42648</v>
      </c>
      <c r="F426" s="109" t="s">
        <v>520</v>
      </c>
      <c r="G426" s="296" t="s">
        <v>808</v>
      </c>
      <c r="H426" s="4" t="s">
        <v>363</v>
      </c>
      <c r="I426" s="133">
        <v>659</v>
      </c>
      <c r="J426" s="133">
        <v>9700</v>
      </c>
      <c r="K426" s="13">
        <f>ROUND(I426*J426,0)</f>
        <v>6392300</v>
      </c>
      <c r="L426" s="113" t="s">
        <v>251</v>
      </c>
      <c r="M426" s="402" t="s">
        <v>168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/>
      </c>
      <c r="Z426" s="563"/>
    </row>
    <row r="427" spans="1:26" ht="15.75" customHeight="1">
      <c r="A427" s="120" t="str">
        <f>IF(B427&lt;&gt;"",IF(AND(B427&gt;=_TM1,B427&lt;=_TM2,OR(TH!L427="1111",TH!M427="1111")),TH!D427,""),"")</f>
        <v/>
      </c>
      <c r="B427" s="12">
        <f t="shared" si="15"/>
        <v>10</v>
      </c>
      <c r="C427" s="105">
        <f t="shared" si="16"/>
        <v>42648</v>
      </c>
      <c r="D427" s="105" t="s">
        <v>553</v>
      </c>
      <c r="E427" s="110">
        <v>42648</v>
      </c>
      <c r="F427" s="109" t="s">
        <v>494</v>
      </c>
      <c r="G427" s="296" t="s">
        <v>808</v>
      </c>
      <c r="H427" s="4" t="s">
        <v>363</v>
      </c>
      <c r="I427" s="133"/>
      <c r="J427" s="133"/>
      <c r="K427" s="13">
        <v>799230</v>
      </c>
      <c r="L427" s="113" t="s">
        <v>251</v>
      </c>
      <c r="M427" s="402" t="s">
        <v>350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/>
      </c>
      <c r="Z427" s="563"/>
    </row>
    <row r="428" spans="1:26" ht="15.75" customHeight="1">
      <c r="A428" s="120" t="str">
        <f>IF(B428&lt;&gt;"",IF(AND(B428&gt;=_TM1,B428&lt;=_TM2,OR(TH!L428="1111",TH!M428="1111")),TH!D428,""),"")</f>
        <v/>
      </c>
      <c r="B428" s="12">
        <f t="shared" si="15"/>
        <v>10</v>
      </c>
      <c r="C428" s="105">
        <f t="shared" si="16"/>
        <v>42649</v>
      </c>
      <c r="D428" s="105" t="s">
        <v>554</v>
      </c>
      <c r="E428" s="110">
        <v>42649</v>
      </c>
      <c r="F428" s="109" t="s">
        <v>524</v>
      </c>
      <c r="G428" s="296" t="s">
        <v>434</v>
      </c>
      <c r="H428" s="112" t="s">
        <v>523</v>
      </c>
      <c r="I428" s="133">
        <v>400</v>
      </c>
      <c r="J428" s="133">
        <v>20000</v>
      </c>
      <c r="K428" s="13">
        <f>ROUND(I428*J428,0)</f>
        <v>8000000</v>
      </c>
      <c r="L428" s="113" t="s">
        <v>251</v>
      </c>
      <c r="M428" s="402" t="s">
        <v>168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/>
      </c>
      <c r="Z428" s="563"/>
    </row>
    <row r="429" spans="1:26" ht="15.75" customHeight="1">
      <c r="A429" s="120" t="str">
        <f>IF(B429&lt;&gt;"",IF(AND(B429&gt;=_TM1,B429&lt;=_TM2,OR(TH!L429="1111",TH!M429="1111")),TH!D429,""),"")</f>
        <v/>
      </c>
      <c r="B429" s="12">
        <f t="shared" si="15"/>
        <v>10</v>
      </c>
      <c r="C429" s="105">
        <f t="shared" si="16"/>
        <v>42649</v>
      </c>
      <c r="D429" s="105" t="s">
        <v>554</v>
      </c>
      <c r="E429" s="110">
        <v>42649</v>
      </c>
      <c r="F429" s="109" t="s">
        <v>494</v>
      </c>
      <c r="G429" s="296" t="s">
        <v>434</v>
      </c>
      <c r="H429" s="112" t="s">
        <v>523</v>
      </c>
      <c r="I429" s="133"/>
      <c r="J429" s="133"/>
      <c r="K429" s="13">
        <v>800000</v>
      </c>
      <c r="L429" s="113" t="s">
        <v>251</v>
      </c>
      <c r="M429" s="402" t="s">
        <v>350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/>
      </c>
      <c r="Z429" s="563"/>
    </row>
    <row r="430" spans="1:26" ht="15.75" customHeight="1">
      <c r="A430" s="120" t="str">
        <f>IF(B430&lt;&gt;"",IF(AND(B430&gt;=_TM1,B430&lt;=_TM2,OR(TH!L430="1111",TH!M430="1111")),TH!D430,""),"")</f>
        <v/>
      </c>
      <c r="B430" s="12">
        <f t="shared" si="15"/>
        <v>10</v>
      </c>
      <c r="C430" s="105">
        <f t="shared" si="16"/>
        <v>42652</v>
      </c>
      <c r="D430" s="110" t="s">
        <v>458</v>
      </c>
      <c r="E430" s="110">
        <v>42652</v>
      </c>
      <c r="F430" s="109" t="s">
        <v>775</v>
      </c>
      <c r="G430" s="298" t="s">
        <v>777</v>
      </c>
      <c r="H430" s="112" t="s">
        <v>778</v>
      </c>
      <c r="I430" s="133">
        <v>13490</v>
      </c>
      <c r="J430" s="133">
        <v>750</v>
      </c>
      <c r="K430" s="13">
        <f>ROUND(I430*J430,0)</f>
        <v>10117500</v>
      </c>
      <c r="L430" s="113" t="s">
        <v>155</v>
      </c>
      <c r="M430" s="113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/>
      </c>
      <c r="Z430" s="563">
        <v>4</v>
      </c>
    </row>
    <row r="431" spans="1:26" ht="15.75" customHeight="1">
      <c r="A431" s="120" t="str">
        <f>IF(B431&lt;&gt;"",IF(AND(B431&gt;=_TM1,B431&lt;=_TM2,OR(TH!L431="1111",TH!M431="1111")),TH!D431,""),"")</f>
        <v/>
      </c>
      <c r="B431" s="12">
        <f t="shared" si="15"/>
        <v>10</v>
      </c>
      <c r="C431" s="105">
        <f t="shared" si="16"/>
        <v>42652</v>
      </c>
      <c r="D431" s="110" t="s">
        <v>458</v>
      </c>
      <c r="E431" s="110">
        <v>42652</v>
      </c>
      <c r="F431" s="109" t="s">
        <v>776</v>
      </c>
      <c r="G431" s="298" t="s">
        <v>777</v>
      </c>
      <c r="H431" s="112" t="s">
        <v>778</v>
      </c>
      <c r="I431" s="133"/>
      <c r="J431" s="133"/>
      <c r="K431" s="13">
        <v>1011750</v>
      </c>
      <c r="L431" s="113" t="s">
        <v>9</v>
      </c>
      <c r="M431" s="113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/>
      </c>
      <c r="Z431" s="563">
        <v>4</v>
      </c>
    </row>
    <row r="432" spans="1:26" ht="15.75" customHeight="1">
      <c r="A432" s="120" t="str">
        <f>IF(B432&lt;&gt;"",IF(AND(B432&gt;=_TM1,B432&lt;=_TM2,OR(TH!L432="1111",TH!M432="1111")),TH!D432,""),"")</f>
        <v>C05</v>
      </c>
      <c r="B432" s="12">
        <f t="shared" si="15"/>
        <v>10</v>
      </c>
      <c r="C432" s="105">
        <f t="shared" si="16"/>
        <v>42652</v>
      </c>
      <c r="D432" s="110" t="s">
        <v>456</v>
      </c>
      <c r="E432" s="110">
        <v>42652</v>
      </c>
      <c r="F432" s="109" t="s">
        <v>463</v>
      </c>
      <c r="G432" s="298" t="s">
        <v>777</v>
      </c>
      <c r="H432" s="112" t="s">
        <v>778</v>
      </c>
      <c r="I432" s="133"/>
      <c r="J432" s="133"/>
      <c r="K432" s="13">
        <v>11129250</v>
      </c>
      <c r="L432" s="113" t="s">
        <v>8</v>
      </c>
      <c r="M432" s="402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>x</v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/>
      </c>
      <c r="Z432" s="563"/>
    </row>
    <row r="433" spans="1:26" ht="15.75" customHeight="1">
      <c r="A433" s="120" t="str">
        <f>IF(B433&lt;&gt;"",IF(AND(B433&gt;=_TM1,B433&lt;=_TM2,OR(TH!L433="1111",TH!M433="1111")),TH!D433,""),"")</f>
        <v/>
      </c>
      <c r="B433" s="12">
        <f t="shared" si="15"/>
        <v>10</v>
      </c>
      <c r="C433" s="105">
        <f t="shared" si="16"/>
        <v>42657</v>
      </c>
      <c r="D433" s="105" t="s">
        <v>467</v>
      </c>
      <c r="E433" s="110">
        <v>42657</v>
      </c>
      <c r="F433" s="109" t="s">
        <v>482</v>
      </c>
      <c r="G433" s="111" t="s">
        <v>472</v>
      </c>
      <c r="H433" s="4" t="s">
        <v>369</v>
      </c>
      <c r="I433" s="133"/>
      <c r="J433" s="135"/>
      <c r="K433" s="13">
        <v>43410950</v>
      </c>
      <c r="L433" s="113" t="s">
        <v>24</v>
      </c>
      <c r="M433" s="402" t="s">
        <v>251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/>
      </c>
      <c r="Z433" s="563"/>
    </row>
    <row r="434" spans="1:26" ht="15.75" customHeight="1">
      <c r="A434" s="120" t="str">
        <f>IF(B434&lt;&gt;"",IF(AND(B434&gt;=_TM1,B434&lt;=_TM2,OR(TH!L434="1111",TH!M434="1111")),TH!D434,""),"")</f>
        <v/>
      </c>
      <c r="B434" s="12">
        <f t="shared" si="15"/>
        <v>10</v>
      </c>
      <c r="C434" s="105">
        <f t="shared" si="16"/>
        <v>42657</v>
      </c>
      <c r="D434" s="110" t="s">
        <v>459</v>
      </c>
      <c r="E434" s="110">
        <v>42657</v>
      </c>
      <c r="F434" s="109" t="s">
        <v>775</v>
      </c>
      <c r="G434" s="298" t="s">
        <v>779</v>
      </c>
      <c r="H434" s="112" t="s">
        <v>778</v>
      </c>
      <c r="I434" s="133">
        <v>16010</v>
      </c>
      <c r="J434" s="133">
        <v>800</v>
      </c>
      <c r="K434" s="13">
        <f>ROUND(I434*J434,0)</f>
        <v>12808000</v>
      </c>
      <c r="L434" s="113" t="s">
        <v>155</v>
      </c>
      <c r="M434" s="113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/>
      </c>
      <c r="Z434" s="563">
        <v>4</v>
      </c>
    </row>
    <row r="435" spans="1:26" ht="15.75" customHeight="1">
      <c r="A435" s="120" t="str">
        <f>IF(B435&lt;&gt;"",IF(AND(B435&gt;=_TM1,B435&lt;=_TM2,OR(TH!L435="1111",TH!M435="1111")),TH!D435,""),"")</f>
        <v/>
      </c>
      <c r="B435" s="12">
        <f t="shared" si="15"/>
        <v>10</v>
      </c>
      <c r="C435" s="105">
        <f t="shared" si="16"/>
        <v>42657</v>
      </c>
      <c r="D435" s="110" t="s">
        <v>459</v>
      </c>
      <c r="E435" s="110">
        <v>42657</v>
      </c>
      <c r="F435" s="109" t="s">
        <v>776</v>
      </c>
      <c r="G435" s="298" t="s">
        <v>779</v>
      </c>
      <c r="H435" s="112" t="s">
        <v>778</v>
      </c>
      <c r="I435" s="133"/>
      <c r="J435" s="133"/>
      <c r="K435" s="13">
        <v>1280800</v>
      </c>
      <c r="L435" s="113" t="s">
        <v>9</v>
      </c>
      <c r="M435" s="113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/>
      </c>
      <c r="Z435" s="563">
        <v>4</v>
      </c>
    </row>
    <row r="436" spans="1:26" ht="15.75" customHeight="1">
      <c r="A436" s="120" t="str">
        <f>IF(B436&lt;&gt;"",IF(AND(B436&gt;=_TM1,B436&lt;=_TM2,OR(TH!L436="1111",TH!M436="1111")),TH!D436,""),"")</f>
        <v>C06</v>
      </c>
      <c r="B436" s="12">
        <f t="shared" si="15"/>
        <v>10</v>
      </c>
      <c r="C436" s="105">
        <f t="shared" si="16"/>
        <v>42657</v>
      </c>
      <c r="D436" s="110" t="s">
        <v>457</v>
      </c>
      <c r="E436" s="110">
        <v>42657</v>
      </c>
      <c r="F436" s="109" t="s">
        <v>463</v>
      </c>
      <c r="G436" s="298" t="s">
        <v>779</v>
      </c>
      <c r="H436" s="112" t="s">
        <v>778</v>
      </c>
      <c r="I436" s="133"/>
      <c r="J436" s="133"/>
      <c r="K436" s="13">
        <v>14088800</v>
      </c>
      <c r="L436" s="113" t="s">
        <v>8</v>
      </c>
      <c r="M436" s="402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>x</v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/>
      </c>
      <c r="Z436" s="563"/>
    </row>
    <row r="437" spans="1:26" ht="15.75" customHeight="1">
      <c r="A437" s="120" t="str">
        <f>IF(B437&lt;&gt;"",IF(AND(B437&gt;=_TM1,B437&lt;=_TM2,OR(TH!L437="1111",TH!M437="1111")),TH!D437,""),"")</f>
        <v/>
      </c>
      <c r="B437" s="12">
        <f t="shared" si="15"/>
        <v>10</v>
      </c>
      <c r="C437" s="105">
        <f t="shared" si="16"/>
        <v>42658</v>
      </c>
      <c r="D437" s="110" t="s">
        <v>323</v>
      </c>
      <c r="E437" s="110">
        <v>42658</v>
      </c>
      <c r="F437" s="109" t="s">
        <v>773</v>
      </c>
      <c r="G437" s="298" t="s">
        <v>774</v>
      </c>
      <c r="H437" s="112" t="s">
        <v>622</v>
      </c>
      <c r="I437" s="133"/>
      <c r="J437" s="133"/>
      <c r="K437" s="13">
        <v>37000000</v>
      </c>
      <c r="L437" s="113" t="s">
        <v>82</v>
      </c>
      <c r="M437" s="113" t="s">
        <v>8</v>
      </c>
      <c r="N437" s="22" t="str">
        <f>IF(AND('331-CT'!$E$7=TH!H437,OR(L437="331",M437="331")),"331",IF(AND(OR(L437="131",M437="131"),H437='131-CT'!$E$7),"131",""))</f>
        <v>331</v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>x</v>
      </c>
      <c r="Y437" s="22" t="str">
        <f>IF(AND(B437&lt;=NKC!$N$8,B437&gt;=NKC!$M$8),"x","")</f>
        <v/>
      </c>
      <c r="Z437" s="563">
        <v>4</v>
      </c>
    </row>
    <row r="438" spans="1:26" ht="15.75" customHeight="1">
      <c r="A438" s="120" t="str">
        <f>IF(B438&lt;&gt;"",IF(AND(B438&gt;=_TM1,B438&lt;=_TM2,OR(TH!L438="1111",TH!M438="1111")),TH!D438,""),"")</f>
        <v/>
      </c>
      <c r="B438" s="12">
        <f t="shared" si="15"/>
        <v>10</v>
      </c>
      <c r="C438" s="105">
        <f t="shared" si="16"/>
        <v>42658</v>
      </c>
      <c r="D438" s="110" t="s">
        <v>323</v>
      </c>
      <c r="E438" s="110">
        <v>42658</v>
      </c>
      <c r="F438" s="109" t="s">
        <v>433</v>
      </c>
      <c r="G438" s="298" t="s">
        <v>774</v>
      </c>
      <c r="H438" s="112" t="s">
        <v>622</v>
      </c>
      <c r="I438" s="133"/>
      <c r="J438" s="133"/>
      <c r="K438" s="13">
        <v>3700000</v>
      </c>
      <c r="L438" s="113" t="s">
        <v>9</v>
      </c>
      <c r="M438" s="113" t="s">
        <v>8</v>
      </c>
      <c r="N438" s="22" t="str">
        <f>IF(AND('331-CT'!$E$7=TH!H438,OR(L438="331",M438="331")),"331",IF(AND(OR(L438="131",M438="131"),H438='131-CT'!$E$7),"131",""))</f>
        <v>331</v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/>
      </c>
      <c r="Z438" s="563">
        <v>4</v>
      </c>
    </row>
    <row r="439" spans="1:26" ht="15.75" customHeight="1">
      <c r="A439" s="120" t="str">
        <f>IF(B439&lt;&gt;"",IF(AND(B439&gt;=_TM1,B439&lt;=_TM2,OR(TH!L439="1111",TH!M439="1111")),TH!D439,""),"")</f>
        <v/>
      </c>
      <c r="B439" s="12">
        <f t="shared" si="15"/>
        <v>10</v>
      </c>
      <c r="C439" s="105">
        <f t="shared" si="16"/>
        <v>42660</v>
      </c>
      <c r="D439" s="105" t="s">
        <v>468</v>
      </c>
      <c r="E439" s="110">
        <v>42660</v>
      </c>
      <c r="F439" s="111" t="s">
        <v>477</v>
      </c>
      <c r="G439" s="111" t="s">
        <v>472</v>
      </c>
      <c r="H439" s="112" t="s">
        <v>622</v>
      </c>
      <c r="I439" s="133"/>
      <c r="J439" s="133"/>
      <c r="K439" s="13">
        <v>40700000</v>
      </c>
      <c r="L439" s="113" t="s">
        <v>8</v>
      </c>
      <c r="M439" s="402" t="s">
        <v>24</v>
      </c>
      <c r="N439" s="22" t="str">
        <f>IF(AND('331-CT'!$E$7=TH!H439,OR(L439="331",M439="331")),"331",IF(AND(OR(L439="131",M439="131"),H439='131-CT'!$E$7),"131",""))</f>
        <v>331</v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/>
      </c>
      <c r="Z439" s="563"/>
    </row>
    <row r="440" spans="1:26" ht="15.75" customHeight="1">
      <c r="A440" s="120" t="str">
        <f>IF(B440&lt;&gt;"",IF(AND(B440&gt;=_TM1,B440&lt;=_TM2,OR(TH!L440="1111",TH!M440="1111")),TH!D440,""),"")</f>
        <v/>
      </c>
      <c r="B440" s="12">
        <f t="shared" si="15"/>
        <v>10</v>
      </c>
      <c r="C440" s="105">
        <f t="shared" si="16"/>
        <v>42660</v>
      </c>
      <c r="D440" s="110" t="s">
        <v>400</v>
      </c>
      <c r="E440" s="110">
        <v>42660</v>
      </c>
      <c r="F440" s="109" t="s">
        <v>781</v>
      </c>
      <c r="G440" s="298" t="s">
        <v>786</v>
      </c>
      <c r="H440" s="4" t="s">
        <v>396</v>
      </c>
      <c r="I440" s="133">
        <v>8032</v>
      </c>
      <c r="J440" s="133">
        <v>7800</v>
      </c>
      <c r="K440" s="13">
        <f>ROUND(I440*J440,0)</f>
        <v>62649600</v>
      </c>
      <c r="L440" s="113" t="s">
        <v>153</v>
      </c>
      <c r="M440" s="402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/>
      </c>
      <c r="Z440" s="563">
        <v>4</v>
      </c>
    </row>
    <row r="441" spans="1:26" ht="15.75" customHeight="1">
      <c r="A441" s="120" t="str">
        <f>IF(B441&lt;&gt;"",IF(AND(B441&gt;=_TM1,B441&lt;=_TM2,OR(TH!L441="1111",TH!M441="1111")),TH!D441,""),"")</f>
        <v/>
      </c>
      <c r="B441" s="12">
        <f t="shared" si="15"/>
        <v>10</v>
      </c>
      <c r="C441" s="105">
        <f t="shared" si="16"/>
        <v>42660</v>
      </c>
      <c r="D441" s="110" t="s">
        <v>400</v>
      </c>
      <c r="E441" s="110">
        <v>42660</v>
      </c>
      <c r="F441" s="109" t="s">
        <v>374</v>
      </c>
      <c r="G441" s="298" t="s">
        <v>786</v>
      </c>
      <c r="H441" s="4" t="s">
        <v>396</v>
      </c>
      <c r="I441" s="133"/>
      <c r="J441" s="133"/>
      <c r="K441" s="13">
        <v>6264960</v>
      </c>
      <c r="L441" s="113" t="s">
        <v>9</v>
      </c>
      <c r="M441" s="113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/>
      </c>
      <c r="Z441" s="563">
        <v>4</v>
      </c>
    </row>
    <row r="442" spans="1:26" ht="15.75" customHeight="1">
      <c r="A442" s="120" t="str">
        <f>IF(B442&lt;&gt;"",IF(AND(B442&gt;=_TM1,B442&lt;=_TM2,OR(TH!L442="1111",TH!M442="1111")),TH!D442,""),"")</f>
        <v/>
      </c>
      <c r="B442" s="12">
        <f t="shared" si="15"/>
        <v>10</v>
      </c>
      <c r="C442" s="105">
        <f t="shared" si="16"/>
        <v>42660</v>
      </c>
      <c r="D442" s="110" t="s">
        <v>401</v>
      </c>
      <c r="E442" s="110">
        <v>42660</v>
      </c>
      <c r="F442" s="109" t="s">
        <v>781</v>
      </c>
      <c r="G442" s="298" t="s">
        <v>788</v>
      </c>
      <c r="H442" s="4" t="s">
        <v>396</v>
      </c>
      <c r="I442" s="133">
        <v>7448</v>
      </c>
      <c r="J442" s="133">
        <v>8200</v>
      </c>
      <c r="K442" s="13">
        <f>ROUND(I442*J442,0)</f>
        <v>61073600</v>
      </c>
      <c r="L442" s="113" t="s">
        <v>153</v>
      </c>
      <c r="M442" s="402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/>
      </c>
      <c r="Z442" s="563">
        <v>4</v>
      </c>
    </row>
    <row r="443" spans="1:26" ht="15.75" customHeight="1">
      <c r="A443" s="120" t="str">
        <f>IF(B443&lt;&gt;"",IF(AND(B443&gt;=_TM1,B443&lt;=_TM2,OR(TH!L443="1111",TH!M443="1111")),TH!D443,""),"")</f>
        <v/>
      </c>
      <c r="B443" s="12">
        <f t="shared" si="15"/>
        <v>10</v>
      </c>
      <c r="C443" s="105">
        <f t="shared" si="16"/>
        <v>42660</v>
      </c>
      <c r="D443" s="110" t="s">
        <v>401</v>
      </c>
      <c r="E443" s="110">
        <v>42660</v>
      </c>
      <c r="F443" s="109" t="s">
        <v>374</v>
      </c>
      <c r="G443" s="298" t="s">
        <v>788</v>
      </c>
      <c r="H443" s="4" t="s">
        <v>396</v>
      </c>
      <c r="I443" s="133"/>
      <c r="J443" s="133"/>
      <c r="K443" s="13">
        <v>6107360</v>
      </c>
      <c r="L443" s="113" t="s">
        <v>9</v>
      </c>
      <c r="M443" s="113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/>
      </c>
      <c r="Z443" s="563">
        <v>4</v>
      </c>
    </row>
    <row r="444" spans="1:26" ht="15.75" customHeight="1">
      <c r="A444" s="120" t="str">
        <f>IF(B444&lt;&gt;"",IF(AND(B444&gt;=_TM1,B444&lt;=_TM2,OR(TH!L444="1111",TH!M444="1111")),TH!D444,""),"")</f>
        <v/>
      </c>
      <c r="B444" s="12">
        <f t="shared" si="15"/>
        <v>10</v>
      </c>
      <c r="C444" s="105">
        <f t="shared" si="16"/>
        <v>42660</v>
      </c>
      <c r="D444" s="110" t="s">
        <v>402</v>
      </c>
      <c r="E444" s="110">
        <v>42660</v>
      </c>
      <c r="F444" s="109" t="s">
        <v>781</v>
      </c>
      <c r="G444" s="298" t="s">
        <v>787</v>
      </c>
      <c r="H444" s="4" t="s">
        <v>396</v>
      </c>
      <c r="I444" s="133">
        <v>2161</v>
      </c>
      <c r="J444" s="133">
        <v>8200</v>
      </c>
      <c r="K444" s="13">
        <f>ROUND(I444*J444,0)</f>
        <v>17720200</v>
      </c>
      <c r="L444" s="113" t="s">
        <v>153</v>
      </c>
      <c r="M444" s="402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/>
      </c>
      <c r="Z444" s="563">
        <v>4</v>
      </c>
    </row>
    <row r="445" spans="1:26" ht="15.75" customHeight="1">
      <c r="A445" s="120" t="str">
        <f>IF(B445&lt;&gt;"",IF(AND(B445&gt;=_TM1,B445&lt;=_TM2,OR(TH!L445="1111",TH!M445="1111")),TH!D445,""),"")</f>
        <v/>
      </c>
      <c r="B445" s="12">
        <f t="shared" si="15"/>
        <v>10</v>
      </c>
      <c r="C445" s="105">
        <f t="shared" si="16"/>
        <v>42660</v>
      </c>
      <c r="D445" s="110" t="s">
        <v>402</v>
      </c>
      <c r="E445" s="110">
        <v>42660</v>
      </c>
      <c r="F445" s="109" t="s">
        <v>374</v>
      </c>
      <c r="G445" s="298" t="s">
        <v>787</v>
      </c>
      <c r="H445" s="4" t="s">
        <v>396</v>
      </c>
      <c r="I445" s="133"/>
      <c r="J445" s="133"/>
      <c r="K445" s="13">
        <v>1772020</v>
      </c>
      <c r="L445" s="113" t="s">
        <v>9</v>
      </c>
      <c r="M445" s="113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/>
      </c>
      <c r="Z445" s="563">
        <v>4</v>
      </c>
    </row>
    <row r="446" spans="1:26" ht="15.75" customHeight="1">
      <c r="A446" s="120" t="str">
        <f>IF(B446&lt;&gt;"",IF(AND(B446&gt;=_TM1,B446&lt;=_TM2,OR(TH!L446="1111",TH!M446="1111")),TH!D446,""),"")</f>
        <v/>
      </c>
      <c r="B446" s="12">
        <f t="shared" si="15"/>
        <v>10</v>
      </c>
      <c r="C446" s="105">
        <f t="shared" si="16"/>
        <v>42660</v>
      </c>
      <c r="D446" s="110" t="s">
        <v>453</v>
      </c>
      <c r="E446" s="110">
        <v>42660</v>
      </c>
      <c r="F446" s="109" t="s">
        <v>781</v>
      </c>
      <c r="G446" s="298" t="s">
        <v>1074</v>
      </c>
      <c r="H446" s="4" t="s">
        <v>396</v>
      </c>
      <c r="I446" s="133">
        <v>9042</v>
      </c>
      <c r="J446" s="133">
        <v>7800</v>
      </c>
      <c r="K446" s="13">
        <f>ROUND(I446*J446,0)</f>
        <v>70527600</v>
      </c>
      <c r="L446" s="113" t="s">
        <v>153</v>
      </c>
      <c r="M446" s="402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/>
      </c>
      <c r="Z446" s="563">
        <v>4</v>
      </c>
    </row>
    <row r="447" spans="1:26" ht="15.75" customHeight="1">
      <c r="A447" s="120" t="str">
        <f>IF(B447&lt;&gt;"",IF(AND(B447&gt;=_TM1,B447&lt;=_TM2,OR(TH!L447="1111",TH!M447="1111")),TH!D447,""),"")</f>
        <v/>
      </c>
      <c r="B447" s="12">
        <f t="shared" si="15"/>
        <v>10</v>
      </c>
      <c r="C447" s="105">
        <f t="shared" si="16"/>
        <v>42660</v>
      </c>
      <c r="D447" s="110" t="s">
        <v>453</v>
      </c>
      <c r="E447" s="110">
        <v>42660</v>
      </c>
      <c r="F447" s="109" t="s">
        <v>374</v>
      </c>
      <c r="G447" s="298" t="s">
        <v>1074</v>
      </c>
      <c r="H447" s="4" t="s">
        <v>396</v>
      </c>
      <c r="I447" s="133"/>
      <c r="J447" s="133"/>
      <c r="K447" s="13">
        <v>7052760</v>
      </c>
      <c r="L447" s="113" t="s">
        <v>9</v>
      </c>
      <c r="M447" s="113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/>
      </c>
      <c r="Z447" s="563">
        <v>4</v>
      </c>
    </row>
    <row r="448" spans="1:26" ht="15.75" customHeight="1">
      <c r="A448" s="120" t="str">
        <f>IF(B448&lt;&gt;"",IF(AND(B448&gt;=_TM1,B448&lt;=_TM2,OR(TH!L448="1111",TH!M448="1111")),TH!D448,""),"")</f>
        <v/>
      </c>
      <c r="B448" s="12">
        <f t="shared" si="15"/>
        <v>10</v>
      </c>
      <c r="C448" s="105">
        <f t="shared" si="16"/>
        <v>42660</v>
      </c>
      <c r="D448" s="105" t="s">
        <v>555</v>
      </c>
      <c r="E448" s="110">
        <v>42660</v>
      </c>
      <c r="F448" s="109" t="s">
        <v>672</v>
      </c>
      <c r="G448" s="296" t="s">
        <v>759</v>
      </c>
      <c r="H448" s="4" t="s">
        <v>369</v>
      </c>
      <c r="I448" s="133">
        <v>1800</v>
      </c>
      <c r="J448" s="133">
        <v>9100</v>
      </c>
      <c r="K448" s="13">
        <f>ROUND(I448*J448,0)</f>
        <v>16380000</v>
      </c>
      <c r="L448" s="113" t="s">
        <v>251</v>
      </c>
      <c r="M448" s="402" t="s">
        <v>168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/>
      </c>
      <c r="Z448" s="563"/>
    </row>
    <row r="449" spans="1:26" ht="15.75" customHeight="1">
      <c r="A449" s="120" t="str">
        <f>IF(B449&lt;&gt;"",IF(AND(B449&gt;=_TM1,B449&lt;=_TM2,OR(TH!L449="1111",TH!M449="1111")),TH!D449,""),"")</f>
        <v/>
      </c>
      <c r="B449" s="12">
        <f t="shared" si="15"/>
        <v>10</v>
      </c>
      <c r="C449" s="105">
        <f t="shared" si="16"/>
        <v>42660</v>
      </c>
      <c r="D449" s="105" t="s">
        <v>555</v>
      </c>
      <c r="E449" s="110">
        <v>42660</v>
      </c>
      <c r="F449" s="109" t="s">
        <v>671</v>
      </c>
      <c r="G449" s="296" t="s">
        <v>759</v>
      </c>
      <c r="H449" s="4" t="s">
        <v>369</v>
      </c>
      <c r="I449" s="133">
        <v>26</v>
      </c>
      <c r="J449" s="133">
        <v>13000</v>
      </c>
      <c r="K449" s="13">
        <f>ROUND(I449*J449,0)</f>
        <v>338000</v>
      </c>
      <c r="L449" s="113" t="s">
        <v>251</v>
      </c>
      <c r="M449" s="402" t="s">
        <v>168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/>
      </c>
      <c r="Z449" s="563"/>
    </row>
    <row r="450" spans="1:26" ht="15.75" customHeight="1">
      <c r="A450" s="120" t="str">
        <f>IF(B450&lt;&gt;"",IF(AND(B450&gt;=_TM1,B450&lt;=_TM2,OR(TH!L450="1111",TH!M450="1111")),TH!D450,""),"")</f>
        <v/>
      </c>
      <c r="B450" s="12">
        <f t="shared" si="15"/>
        <v>10</v>
      </c>
      <c r="C450" s="105">
        <f t="shared" si="16"/>
        <v>42660</v>
      </c>
      <c r="D450" s="105" t="s">
        <v>555</v>
      </c>
      <c r="E450" s="110">
        <v>42660</v>
      </c>
      <c r="F450" s="109" t="s">
        <v>494</v>
      </c>
      <c r="G450" s="296" t="s">
        <v>759</v>
      </c>
      <c r="H450" s="4" t="s">
        <v>369</v>
      </c>
      <c r="I450" s="134"/>
      <c r="J450" s="133"/>
      <c r="K450" s="13">
        <v>1671800</v>
      </c>
      <c r="L450" s="113" t="s">
        <v>251</v>
      </c>
      <c r="M450" s="402" t="s">
        <v>350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/>
      </c>
      <c r="Z450" s="563"/>
    </row>
    <row r="451" spans="1:26" ht="15.75" customHeight="1">
      <c r="A451" s="120" t="str">
        <f>IF(B451&lt;&gt;"",IF(AND(B451&gt;=_TM1,B451&lt;=_TM2,OR(TH!L451="1111",TH!M451="1111")),TH!D451,""),"")</f>
        <v>T04</v>
      </c>
      <c r="B451" s="12">
        <f t="shared" si="15"/>
        <v>10</v>
      </c>
      <c r="C451" s="105">
        <f t="shared" si="16"/>
        <v>42661</v>
      </c>
      <c r="D451" s="105" t="s">
        <v>641</v>
      </c>
      <c r="E451" s="110">
        <v>42661</v>
      </c>
      <c r="F451" s="111" t="s">
        <v>483</v>
      </c>
      <c r="G451" s="111" t="s">
        <v>472</v>
      </c>
      <c r="H451" s="112" t="s">
        <v>486</v>
      </c>
      <c r="I451" s="133"/>
      <c r="J451" s="133"/>
      <c r="K451" s="13">
        <v>3000000</v>
      </c>
      <c r="L451" s="113" t="s">
        <v>46</v>
      </c>
      <c r="M451" s="402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>x</v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/>
      </c>
      <c r="Z451" s="563"/>
    </row>
    <row r="452" spans="1:26" ht="15.75" customHeight="1">
      <c r="A452" s="120" t="str">
        <f>IF(B452&lt;&gt;"",IF(AND(B452&gt;=_TM1,B452&lt;=_TM2,OR(TH!L452="1111",TH!M452="1111")),TH!D452,""),"")</f>
        <v/>
      </c>
      <c r="B452" s="12">
        <f t="shared" si="15"/>
        <v>10</v>
      </c>
      <c r="C452" s="105">
        <f t="shared" si="16"/>
        <v>42662</v>
      </c>
      <c r="D452" s="105" t="s">
        <v>467</v>
      </c>
      <c r="E452" s="110">
        <v>42662</v>
      </c>
      <c r="F452" s="109" t="s">
        <v>482</v>
      </c>
      <c r="G452" s="111" t="s">
        <v>472</v>
      </c>
      <c r="H452" s="112" t="s">
        <v>542</v>
      </c>
      <c r="I452" s="133"/>
      <c r="J452" s="135"/>
      <c r="K452" s="13">
        <v>104148000</v>
      </c>
      <c r="L452" s="113" t="s">
        <v>24</v>
      </c>
      <c r="M452" s="402" t="s">
        <v>251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/>
      </c>
      <c r="Z452" s="563"/>
    </row>
    <row r="453" spans="1:26" ht="15.75" customHeight="1">
      <c r="A453" s="120" t="str">
        <f>IF(B453&lt;&gt;"",IF(AND(B453&gt;=_TM1,B453&lt;=_TM2,OR(TH!L453="1111",TH!M453="1111")),TH!D453,""),"")</f>
        <v/>
      </c>
      <c r="B453" s="12">
        <f t="shared" si="15"/>
        <v>10</v>
      </c>
      <c r="C453" s="105">
        <f t="shared" si="16"/>
        <v>42662</v>
      </c>
      <c r="D453" s="110" t="s">
        <v>454</v>
      </c>
      <c r="E453" s="110">
        <v>42662</v>
      </c>
      <c r="F453" s="109" t="s">
        <v>781</v>
      </c>
      <c r="G453" s="298" t="s">
        <v>780</v>
      </c>
      <c r="H453" s="4" t="s">
        <v>396</v>
      </c>
      <c r="I453" s="133">
        <v>6632</v>
      </c>
      <c r="J453" s="133">
        <v>8200</v>
      </c>
      <c r="K453" s="13">
        <f>ROUND(I453*J453,0)</f>
        <v>54382400</v>
      </c>
      <c r="L453" s="113" t="s">
        <v>153</v>
      </c>
      <c r="M453" s="402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/>
      </c>
      <c r="Z453" s="563">
        <v>4</v>
      </c>
    </row>
    <row r="454" spans="1:26" ht="15.75" customHeight="1">
      <c r="A454" s="120" t="str">
        <f>IF(B454&lt;&gt;"",IF(AND(B454&gt;=_TM1,B454&lt;=_TM2,OR(TH!L454="1111",TH!M454="1111")),TH!D454,""),"")</f>
        <v/>
      </c>
      <c r="B454" s="12">
        <f t="shared" si="15"/>
        <v>10</v>
      </c>
      <c r="C454" s="105">
        <f t="shared" si="16"/>
        <v>42662</v>
      </c>
      <c r="D454" s="110" t="s">
        <v>454</v>
      </c>
      <c r="E454" s="110">
        <v>42662</v>
      </c>
      <c r="F454" s="109" t="s">
        <v>374</v>
      </c>
      <c r="G454" s="298" t="s">
        <v>780</v>
      </c>
      <c r="H454" s="4" t="s">
        <v>396</v>
      </c>
      <c r="I454" s="133"/>
      <c r="J454" s="133"/>
      <c r="K454" s="13">
        <v>5438240</v>
      </c>
      <c r="L454" s="113" t="s">
        <v>9</v>
      </c>
      <c r="M454" s="113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/>
      </c>
      <c r="Z454" s="563">
        <v>4</v>
      </c>
    </row>
    <row r="455" spans="1:26" ht="15.75" customHeight="1">
      <c r="A455" s="120" t="str">
        <f>IF(B455&lt;&gt;"",IF(AND(B455&gt;=_TM1,B455&lt;=_TM2,OR(TH!L455="1111",TH!M455="1111")),TH!D455,""),"")</f>
        <v/>
      </c>
      <c r="B455" s="12">
        <f t="shared" si="15"/>
        <v>10</v>
      </c>
      <c r="C455" s="105">
        <f t="shared" si="16"/>
        <v>42662</v>
      </c>
      <c r="D455" s="105" t="s">
        <v>556</v>
      </c>
      <c r="E455" s="110">
        <v>42662</v>
      </c>
      <c r="F455" s="109" t="s">
        <v>665</v>
      </c>
      <c r="G455" s="296" t="s">
        <v>760</v>
      </c>
      <c r="H455" s="112" t="s">
        <v>523</v>
      </c>
      <c r="I455" s="134">
        <v>520</v>
      </c>
      <c r="J455" s="134">
        <v>3311</v>
      </c>
      <c r="K455" s="13">
        <f>ROUND(I455*J455,0)</f>
        <v>1721720</v>
      </c>
      <c r="L455" s="113" t="s">
        <v>251</v>
      </c>
      <c r="M455" s="402" t="s">
        <v>168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/>
      </c>
      <c r="Z455" s="563"/>
    </row>
    <row r="456" spans="1:26" ht="15.75" customHeight="1">
      <c r="A456" s="120" t="str">
        <f>IF(B456&lt;&gt;"",IF(AND(B456&gt;=_TM1,B456&lt;=_TM2,OR(TH!L456="1111",TH!M456="1111")),TH!D456,""),"")</f>
        <v/>
      </c>
      <c r="B456" s="12">
        <f t="shared" si="15"/>
        <v>10</v>
      </c>
      <c r="C456" s="105">
        <f t="shared" si="16"/>
        <v>42662</v>
      </c>
      <c r="D456" s="105" t="s">
        <v>556</v>
      </c>
      <c r="E456" s="110">
        <v>42662</v>
      </c>
      <c r="F456" s="109" t="s">
        <v>524</v>
      </c>
      <c r="G456" s="296" t="s">
        <v>760</v>
      </c>
      <c r="H456" s="112" t="s">
        <v>523</v>
      </c>
      <c r="I456" s="134">
        <v>100</v>
      </c>
      <c r="J456" s="134">
        <v>20000</v>
      </c>
      <c r="K456" s="13">
        <f>ROUND(I456*J456,0)</f>
        <v>2000000</v>
      </c>
      <c r="L456" s="113" t="s">
        <v>251</v>
      </c>
      <c r="M456" s="402" t="s">
        <v>168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/>
      </c>
      <c r="Z456" s="563"/>
    </row>
    <row r="457" spans="1:26" ht="15.75" customHeight="1">
      <c r="A457" s="120" t="str">
        <f>IF(B457&lt;&gt;"",IF(AND(B457&gt;=_TM1,B457&lt;=_TM2,OR(TH!L457="1111",TH!M457="1111")),TH!D457,""),"")</f>
        <v/>
      </c>
      <c r="B457" s="12">
        <f t="shared" si="15"/>
        <v>10</v>
      </c>
      <c r="C457" s="105">
        <f t="shared" si="16"/>
        <v>42662</v>
      </c>
      <c r="D457" s="105" t="s">
        <v>556</v>
      </c>
      <c r="E457" s="110">
        <v>42662</v>
      </c>
      <c r="F457" s="109" t="s">
        <v>494</v>
      </c>
      <c r="G457" s="296" t="s">
        <v>760</v>
      </c>
      <c r="H457" s="112" t="s">
        <v>523</v>
      </c>
      <c r="I457" s="134"/>
      <c r="J457" s="134"/>
      <c r="K457" s="13">
        <v>372172</v>
      </c>
      <c r="L457" s="113" t="s">
        <v>251</v>
      </c>
      <c r="M457" s="402" t="s">
        <v>350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/>
      </c>
      <c r="Z457" s="563"/>
    </row>
    <row r="458" spans="1:26" ht="15.75" customHeight="1">
      <c r="A458" s="120" t="str">
        <f>IF(B458&lt;&gt;"",IF(AND(B458&gt;=_TM1,B458&lt;=_TM2,OR(TH!L458="1111",TH!M458="1111")),TH!D458,""),"")</f>
        <v>T05</v>
      </c>
      <c r="B458" s="12">
        <f t="shared" si="15"/>
        <v>10</v>
      </c>
      <c r="C458" s="105">
        <f t="shared" si="16"/>
        <v>42662</v>
      </c>
      <c r="D458" s="105" t="s">
        <v>987</v>
      </c>
      <c r="E458" s="110">
        <v>42662</v>
      </c>
      <c r="F458" s="111" t="s">
        <v>482</v>
      </c>
      <c r="G458" s="296" t="s">
        <v>1026</v>
      </c>
      <c r="H458" s="112" t="s">
        <v>523</v>
      </c>
      <c r="I458" s="134"/>
      <c r="J458" s="134"/>
      <c r="K458" s="13">
        <f>4093892+8800000</f>
        <v>12893892</v>
      </c>
      <c r="L458" s="113" t="s">
        <v>46</v>
      </c>
      <c r="M458" s="402" t="s">
        <v>251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>x</v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/>
      </c>
      <c r="Z458" s="563"/>
    </row>
    <row r="459" spans="1:26" ht="15.75" customHeight="1">
      <c r="A459" s="120" t="str">
        <f>IF(B459&lt;&gt;"",IF(AND(B459&gt;=_TM1,B459&lt;=_TM2,OR(TH!L459="1111",TH!M459="1111")),TH!D459,""),"")</f>
        <v>T06</v>
      </c>
      <c r="B459" s="12">
        <f t="shared" si="15"/>
        <v>10</v>
      </c>
      <c r="C459" s="105">
        <f t="shared" si="16"/>
        <v>42663</v>
      </c>
      <c r="D459" s="105" t="s">
        <v>988</v>
      </c>
      <c r="E459" s="110">
        <v>42663</v>
      </c>
      <c r="F459" s="111" t="s">
        <v>483</v>
      </c>
      <c r="G459" s="111" t="s">
        <v>472</v>
      </c>
      <c r="H459" s="112" t="s">
        <v>486</v>
      </c>
      <c r="I459" s="133"/>
      <c r="J459" s="133"/>
      <c r="K459" s="13">
        <v>104000000</v>
      </c>
      <c r="L459" s="113" t="s">
        <v>46</v>
      </c>
      <c r="M459" s="402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>x</v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/>
      </c>
      <c r="Z459" s="563"/>
    </row>
    <row r="460" spans="1:26" ht="15.75" customHeight="1">
      <c r="A460" s="120" t="str">
        <f>IF(B460&lt;&gt;"",IF(AND(B460&gt;=_TM1,B460&lt;=_TM2,OR(TH!L460="1111",TH!M460="1111")),TH!D460,""),"")</f>
        <v>C07</v>
      </c>
      <c r="B460" s="12">
        <f t="shared" si="15"/>
        <v>10</v>
      </c>
      <c r="C460" s="105">
        <f t="shared" si="16"/>
        <v>42663</v>
      </c>
      <c r="D460" s="110" t="s">
        <v>460</v>
      </c>
      <c r="E460" s="110">
        <v>42663</v>
      </c>
      <c r="F460" s="109" t="s">
        <v>789</v>
      </c>
      <c r="G460" s="298" t="s">
        <v>791</v>
      </c>
      <c r="H460" s="112" t="s">
        <v>792</v>
      </c>
      <c r="I460" s="133"/>
      <c r="J460" s="133"/>
      <c r="K460" s="13">
        <v>934000</v>
      </c>
      <c r="L460" s="113" t="s">
        <v>82</v>
      </c>
      <c r="M460" s="402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>x</v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>x</v>
      </c>
      <c r="Y460" s="22" t="str">
        <f>IF(AND(B460&lt;=NKC!$N$8,B460&gt;=NKC!$M$8),"x","")</f>
        <v/>
      </c>
      <c r="Z460" s="563">
        <v>4</v>
      </c>
    </row>
    <row r="461" spans="1:26" ht="15.75" customHeight="1">
      <c r="A461" s="120" t="str">
        <f>IF(B461&lt;&gt;"",IF(AND(B461&gt;=_TM1,B461&lt;=_TM2,OR(TH!L461="1111",TH!M461="1111")),TH!D461,""),"")</f>
        <v>C07</v>
      </c>
      <c r="B461" s="12">
        <f t="shared" si="15"/>
        <v>10</v>
      </c>
      <c r="C461" s="105">
        <f t="shared" si="16"/>
        <v>42663</v>
      </c>
      <c r="D461" s="110" t="s">
        <v>460</v>
      </c>
      <c r="E461" s="110">
        <v>42663</v>
      </c>
      <c r="F461" s="109" t="s">
        <v>790</v>
      </c>
      <c r="G461" s="298" t="s">
        <v>791</v>
      </c>
      <c r="H461" s="112" t="s">
        <v>792</v>
      </c>
      <c r="I461" s="133"/>
      <c r="J461" s="133"/>
      <c r="K461" s="13">
        <v>93400</v>
      </c>
      <c r="L461" s="113" t="s">
        <v>9</v>
      </c>
      <c r="M461" s="402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>x</v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/>
      </c>
      <c r="Z461" s="563">
        <v>4</v>
      </c>
    </row>
    <row r="462" spans="1:26" ht="15.75" customHeight="1">
      <c r="A462" s="120" t="str">
        <f>IF(B462&lt;&gt;"",IF(AND(B462&gt;=_TM1,B462&lt;=_TM2,OR(TH!L462="1111",TH!M462="1111")),TH!D462,""),"")</f>
        <v/>
      </c>
      <c r="B462" s="12">
        <f t="shared" si="15"/>
        <v>10</v>
      </c>
      <c r="C462" s="105">
        <f t="shared" si="16"/>
        <v>42665</v>
      </c>
      <c r="D462" s="110" t="s">
        <v>461</v>
      </c>
      <c r="E462" s="110">
        <v>42665</v>
      </c>
      <c r="F462" s="109" t="s">
        <v>775</v>
      </c>
      <c r="G462" s="298" t="s">
        <v>793</v>
      </c>
      <c r="H462" s="112" t="s">
        <v>778</v>
      </c>
      <c r="I462" s="133">
        <v>13030</v>
      </c>
      <c r="J462" s="133">
        <v>800</v>
      </c>
      <c r="K462" s="13">
        <f>ROUND(I462*J462,0)</f>
        <v>10424000</v>
      </c>
      <c r="L462" s="113" t="s">
        <v>155</v>
      </c>
      <c r="M462" s="113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/>
      </c>
      <c r="Z462" s="563">
        <v>4</v>
      </c>
    </row>
    <row r="463" spans="1:26" ht="15.75" customHeight="1">
      <c r="A463" s="120" t="str">
        <f>IF(B463&lt;&gt;"",IF(AND(B463&gt;=_TM1,B463&lt;=_TM2,OR(TH!L463="1111",TH!M463="1111")),TH!D463,""),"")</f>
        <v/>
      </c>
      <c r="B463" s="12">
        <f t="shared" si="15"/>
        <v>10</v>
      </c>
      <c r="C463" s="105">
        <f t="shared" si="16"/>
        <v>42665</v>
      </c>
      <c r="D463" s="110" t="s">
        <v>461</v>
      </c>
      <c r="E463" s="110">
        <v>42665</v>
      </c>
      <c r="F463" s="109" t="s">
        <v>776</v>
      </c>
      <c r="G463" s="298" t="s">
        <v>793</v>
      </c>
      <c r="H463" s="112" t="s">
        <v>778</v>
      </c>
      <c r="I463" s="133"/>
      <c r="J463" s="133"/>
      <c r="K463" s="13">
        <v>1042400</v>
      </c>
      <c r="L463" s="113" t="s">
        <v>9</v>
      </c>
      <c r="M463" s="113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/>
      </c>
      <c r="Z463" s="563">
        <v>4</v>
      </c>
    </row>
    <row r="464" spans="1:26" ht="15.75" customHeight="1">
      <c r="A464" s="120" t="str">
        <f>IF(B464&lt;&gt;"",IF(AND(B464&gt;=_TM1,B464&lt;=_TM2,OR(TH!L464="1111",TH!M464="1111")),TH!D464,""),"")</f>
        <v>C08</v>
      </c>
      <c r="B464" s="12">
        <f t="shared" si="15"/>
        <v>10</v>
      </c>
      <c r="C464" s="105">
        <f t="shared" si="16"/>
        <v>42665</v>
      </c>
      <c r="D464" s="110" t="s">
        <v>638</v>
      </c>
      <c r="E464" s="110">
        <v>42665</v>
      </c>
      <c r="F464" s="109" t="s">
        <v>463</v>
      </c>
      <c r="G464" s="298" t="s">
        <v>793</v>
      </c>
      <c r="H464" s="112" t="s">
        <v>778</v>
      </c>
      <c r="I464" s="133"/>
      <c r="J464" s="133"/>
      <c r="K464" s="13">
        <v>11466400</v>
      </c>
      <c r="L464" s="113" t="s">
        <v>8</v>
      </c>
      <c r="M464" s="402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>x</v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/>
      </c>
      <c r="Z464" s="563"/>
    </row>
    <row r="465" spans="1:26" ht="15.75" customHeight="1">
      <c r="A465" s="120" t="str">
        <f>IF(B465&lt;&gt;"",IF(AND(B465&gt;=_TM1,B465&lt;=_TM2,OR(TH!L465="1111",TH!M465="1111")),TH!D465,""),"")</f>
        <v/>
      </c>
      <c r="B465" s="12">
        <f t="shared" ref="B465:B528" si="17">IF(C465&lt;&gt;"",MONTH(C465),"")</f>
        <v>10</v>
      </c>
      <c r="C465" s="105">
        <f t="shared" si="16"/>
        <v>42667</v>
      </c>
      <c r="D465" s="105" t="s">
        <v>467</v>
      </c>
      <c r="E465" s="110">
        <v>42667</v>
      </c>
      <c r="F465" s="109" t="s">
        <v>482</v>
      </c>
      <c r="G465" s="111" t="s">
        <v>472</v>
      </c>
      <c r="H465" s="4" t="s">
        <v>621</v>
      </c>
      <c r="I465" s="133"/>
      <c r="J465" s="135"/>
      <c r="K465" s="13">
        <v>3548160</v>
      </c>
      <c r="L465" s="113" t="s">
        <v>24</v>
      </c>
      <c r="M465" s="402" t="s">
        <v>251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/>
      </c>
      <c r="Z465" s="563"/>
    </row>
    <row r="466" spans="1:26" ht="15.75" customHeight="1">
      <c r="A466" s="120" t="str">
        <f>IF(B466&lt;&gt;"",IF(AND(B466&gt;=_TM1,B466&lt;=_TM2,OR(TH!L466="1111",TH!M466="1111")),TH!D466,""),"")</f>
        <v/>
      </c>
      <c r="B466" s="12">
        <f t="shared" si="17"/>
        <v>10</v>
      </c>
      <c r="C466" s="105">
        <f t="shared" si="16"/>
        <v>42668</v>
      </c>
      <c r="D466" s="105" t="s">
        <v>467</v>
      </c>
      <c r="E466" s="110">
        <v>42668</v>
      </c>
      <c r="F466" s="109" t="s">
        <v>474</v>
      </c>
      <c r="G466" s="111" t="s">
        <v>472</v>
      </c>
      <c r="H466" s="112"/>
      <c r="I466" s="133"/>
      <c r="J466" s="135"/>
      <c r="K466" s="13">
        <v>4672</v>
      </c>
      <c r="L466" s="113" t="s">
        <v>24</v>
      </c>
      <c r="M466" s="402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/>
      </c>
      <c r="Z466" s="563"/>
    </row>
    <row r="467" spans="1:26" ht="15.75" customHeight="1">
      <c r="A467" s="120" t="str">
        <f>IF(B467&lt;&gt;"",IF(AND(B467&gt;=_TM1,B467&lt;=_TM2,OR(TH!L467="1111",TH!M467="1111")),TH!D467,""),"")</f>
        <v>T07</v>
      </c>
      <c r="B467" s="12">
        <f t="shared" si="17"/>
        <v>10</v>
      </c>
      <c r="C467" s="105">
        <f t="shared" si="16"/>
        <v>42668</v>
      </c>
      <c r="D467" s="105" t="s">
        <v>989</v>
      </c>
      <c r="E467" s="110">
        <v>42668</v>
      </c>
      <c r="F467" s="111" t="s">
        <v>483</v>
      </c>
      <c r="G467" s="111" t="s">
        <v>472</v>
      </c>
      <c r="H467" s="125" t="s">
        <v>473</v>
      </c>
      <c r="I467" s="133"/>
      <c r="J467" s="133"/>
      <c r="K467" s="13">
        <v>3500000</v>
      </c>
      <c r="L467" s="113" t="s">
        <v>46</v>
      </c>
      <c r="M467" s="402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>x</v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/>
      </c>
      <c r="Z467" s="563"/>
    </row>
    <row r="468" spans="1:26" ht="15.75" customHeight="1">
      <c r="A468" s="120" t="str">
        <f>IF(B468&lt;&gt;"",IF(AND(B468&gt;=_TM1,B468&lt;=_TM2,OR(TH!L468="1111",TH!M468="1111")),TH!D468,""),"")</f>
        <v/>
      </c>
      <c r="B468" s="12">
        <f t="shared" si="17"/>
        <v>10</v>
      </c>
      <c r="C468" s="105">
        <f t="shared" si="16"/>
        <v>42668</v>
      </c>
      <c r="D468" s="105" t="s">
        <v>468</v>
      </c>
      <c r="E468" s="110">
        <v>42668</v>
      </c>
      <c r="F468" s="111" t="s">
        <v>475</v>
      </c>
      <c r="G468" s="111" t="s">
        <v>472</v>
      </c>
      <c r="H468" s="112"/>
      <c r="I468" s="133"/>
      <c r="J468" s="133"/>
      <c r="K468" s="13">
        <v>10000</v>
      </c>
      <c r="L468" s="113" t="s">
        <v>82</v>
      </c>
      <c r="M468" s="402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>x</v>
      </c>
      <c r="Y468" s="22" t="str">
        <f>IF(AND(B468&lt;=NKC!$N$8,B468&gt;=NKC!$M$8),"x","")</f>
        <v/>
      </c>
      <c r="Z468" s="563">
        <v>4</v>
      </c>
    </row>
    <row r="469" spans="1:26" ht="15.75" customHeight="1">
      <c r="A469" s="120" t="str">
        <f>IF(B469&lt;&gt;"",IF(AND(B469&gt;=_TM1,B469&lt;=_TM2,OR(TH!L469="1111",TH!M469="1111")),TH!D469,""),"")</f>
        <v/>
      </c>
      <c r="B469" s="12">
        <f t="shared" si="17"/>
        <v>10</v>
      </c>
      <c r="C469" s="105">
        <f t="shared" ref="C469:C532" si="18">E469</f>
        <v>42668</v>
      </c>
      <c r="D469" s="105" t="s">
        <v>468</v>
      </c>
      <c r="E469" s="110">
        <v>42668</v>
      </c>
      <c r="F469" s="111" t="s">
        <v>476</v>
      </c>
      <c r="G469" s="111" t="s">
        <v>472</v>
      </c>
      <c r="H469" s="112"/>
      <c r="I469" s="133"/>
      <c r="J469" s="133"/>
      <c r="K469" s="13">
        <v>1000</v>
      </c>
      <c r="L469" s="113" t="s">
        <v>9</v>
      </c>
      <c r="M469" s="402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/>
      </c>
      <c r="Z469" s="563">
        <v>4</v>
      </c>
    </row>
    <row r="470" spans="1:26" ht="15.75" customHeight="1">
      <c r="A470" s="120" t="str">
        <f>IF(B470&lt;&gt;"",IF(AND(B470&gt;=_TM1,B470&lt;=_TM2,OR(TH!L470="1111",TH!M470="1111")),TH!D470,""),"")</f>
        <v/>
      </c>
      <c r="B470" s="12">
        <f t="shared" si="17"/>
        <v>10</v>
      </c>
      <c r="C470" s="105">
        <f t="shared" si="18"/>
        <v>42672</v>
      </c>
      <c r="D470" s="105" t="s">
        <v>557</v>
      </c>
      <c r="E470" s="110">
        <v>42672</v>
      </c>
      <c r="F470" s="109" t="s">
        <v>666</v>
      </c>
      <c r="G470" s="296" t="s">
        <v>761</v>
      </c>
      <c r="H470" s="4" t="s">
        <v>369</v>
      </c>
      <c r="I470" s="134">
        <f>20+16</f>
        <v>36</v>
      </c>
      <c r="J470" s="134">
        <v>15400</v>
      </c>
      <c r="K470" s="13">
        <f>ROUND(I470*J470,0)</f>
        <v>554400</v>
      </c>
      <c r="L470" s="113" t="s">
        <v>251</v>
      </c>
      <c r="M470" s="402" t="s">
        <v>168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/>
      </c>
      <c r="Z470" s="563"/>
    </row>
    <row r="471" spans="1:26" ht="15.75" customHeight="1">
      <c r="A471" s="120" t="str">
        <f>IF(B471&lt;&gt;"",IF(AND(B471&gt;=_TM1,B471&lt;=_TM2,OR(TH!L471="1111",TH!M471="1111")),TH!D471,""),"")</f>
        <v/>
      </c>
      <c r="B471" s="12">
        <f t="shared" si="17"/>
        <v>10</v>
      </c>
      <c r="C471" s="105">
        <f t="shared" si="18"/>
        <v>42672</v>
      </c>
      <c r="D471" s="105" t="s">
        <v>557</v>
      </c>
      <c r="E471" s="110">
        <v>42672</v>
      </c>
      <c r="F471" s="109" t="s">
        <v>653</v>
      </c>
      <c r="G471" s="296" t="s">
        <v>761</v>
      </c>
      <c r="H471" s="4" t="s">
        <v>369</v>
      </c>
      <c r="I471" s="134">
        <v>110</v>
      </c>
      <c r="J471" s="134">
        <v>17500</v>
      </c>
      <c r="K471" s="13">
        <f>ROUND(I471*J471,0)</f>
        <v>1925000</v>
      </c>
      <c r="L471" s="113" t="s">
        <v>251</v>
      </c>
      <c r="M471" s="402" t="s">
        <v>168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/>
      </c>
      <c r="Z471" s="563"/>
    </row>
    <row r="472" spans="1:26" ht="15.75" customHeight="1">
      <c r="A472" s="120" t="str">
        <f>IF(B472&lt;&gt;"",IF(AND(B472&gt;=_TM1,B472&lt;=_TM2,OR(TH!L472="1111",TH!M472="1111")),TH!D472,""),"")</f>
        <v/>
      </c>
      <c r="B472" s="12">
        <f t="shared" si="17"/>
        <v>10</v>
      </c>
      <c r="C472" s="105">
        <f t="shared" si="18"/>
        <v>42672</v>
      </c>
      <c r="D472" s="105" t="s">
        <v>557</v>
      </c>
      <c r="E472" s="110">
        <v>42672</v>
      </c>
      <c r="F472" s="109" t="s">
        <v>667</v>
      </c>
      <c r="G472" s="296" t="s">
        <v>761</v>
      </c>
      <c r="H472" s="4" t="s">
        <v>369</v>
      </c>
      <c r="I472" s="134">
        <v>111</v>
      </c>
      <c r="J472" s="134">
        <v>11700</v>
      </c>
      <c r="K472" s="13">
        <f>ROUND(I472*J472,0)</f>
        <v>1298700</v>
      </c>
      <c r="L472" s="113" t="s">
        <v>251</v>
      </c>
      <c r="M472" s="402" t="s">
        <v>168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/>
      </c>
      <c r="Z472" s="563"/>
    </row>
    <row r="473" spans="1:26" ht="15.75" customHeight="1">
      <c r="A473" s="120" t="str">
        <f>IF(B473&lt;&gt;"",IF(AND(B473&gt;=_TM1,B473&lt;=_TM2,OR(TH!L473="1111",TH!M473="1111")),TH!D473,""),"")</f>
        <v/>
      </c>
      <c r="B473" s="12">
        <f t="shared" si="17"/>
        <v>10</v>
      </c>
      <c r="C473" s="105">
        <f t="shared" si="18"/>
        <v>42672</v>
      </c>
      <c r="D473" s="105" t="s">
        <v>557</v>
      </c>
      <c r="E473" s="110">
        <v>42672</v>
      </c>
      <c r="F473" s="109" t="s">
        <v>668</v>
      </c>
      <c r="G473" s="296" t="s">
        <v>761</v>
      </c>
      <c r="H473" s="4" t="s">
        <v>369</v>
      </c>
      <c r="I473" s="134">
        <v>18</v>
      </c>
      <c r="J473" s="134">
        <v>18000</v>
      </c>
      <c r="K473" s="13">
        <f>ROUND(I473*J473,0)</f>
        <v>324000</v>
      </c>
      <c r="L473" s="113" t="s">
        <v>251</v>
      </c>
      <c r="M473" s="402" t="s">
        <v>168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/>
      </c>
      <c r="Z473" s="563"/>
    </row>
    <row r="474" spans="1:26" ht="15.75" customHeight="1">
      <c r="A474" s="120" t="str">
        <f>IF(B474&lt;&gt;"",IF(AND(B474&gt;=_TM1,B474&lt;=_TM2,OR(TH!L474="1111",TH!M474="1111")),TH!D474,""),"")</f>
        <v/>
      </c>
      <c r="B474" s="12">
        <f t="shared" si="17"/>
        <v>10</v>
      </c>
      <c r="C474" s="105">
        <f t="shared" si="18"/>
        <v>42672</v>
      </c>
      <c r="D474" s="105" t="s">
        <v>557</v>
      </c>
      <c r="E474" s="110">
        <v>42672</v>
      </c>
      <c r="F474" s="109" t="s">
        <v>498</v>
      </c>
      <c r="G474" s="296" t="s">
        <v>761</v>
      </c>
      <c r="H474" s="4" t="s">
        <v>369</v>
      </c>
      <c r="I474" s="134">
        <v>52</v>
      </c>
      <c r="J474" s="134">
        <v>9800</v>
      </c>
      <c r="K474" s="13">
        <f>ROUND(I474*J474,0)</f>
        <v>509600</v>
      </c>
      <c r="L474" s="113" t="s">
        <v>251</v>
      </c>
      <c r="M474" s="402" t="s">
        <v>168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/>
      </c>
      <c r="Z474" s="563"/>
    </row>
    <row r="475" spans="1:26" ht="15.75" customHeight="1">
      <c r="A475" s="120" t="str">
        <f>IF(B475&lt;&gt;"",IF(AND(B475&gt;=_TM1,B475&lt;=_TM2,OR(TH!L475="1111",TH!M475="1111")),TH!D475,""),"")</f>
        <v/>
      </c>
      <c r="B475" s="12">
        <f t="shared" si="17"/>
        <v>10</v>
      </c>
      <c r="C475" s="105">
        <f t="shared" si="18"/>
        <v>42672</v>
      </c>
      <c r="D475" s="105" t="s">
        <v>557</v>
      </c>
      <c r="E475" s="110">
        <v>42672</v>
      </c>
      <c r="F475" s="109" t="s">
        <v>494</v>
      </c>
      <c r="G475" s="296" t="s">
        <v>761</v>
      </c>
      <c r="H475" s="4" t="s">
        <v>369</v>
      </c>
      <c r="I475" s="134"/>
      <c r="J475" s="134"/>
      <c r="K475" s="13">
        <v>461170</v>
      </c>
      <c r="L475" s="113" t="s">
        <v>251</v>
      </c>
      <c r="M475" s="402" t="s">
        <v>350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/>
      </c>
      <c r="Z475" s="563"/>
    </row>
    <row r="476" spans="1:26" ht="15.75" customHeight="1">
      <c r="A476" s="120" t="str">
        <f>IF(B476&lt;&gt;"",IF(AND(B476&gt;=_TM1,B476&lt;=_TM2,OR(TH!L476="1111",TH!M476="1111")),TH!D476,""),"")</f>
        <v/>
      </c>
      <c r="B476" s="12">
        <f t="shared" si="17"/>
        <v>10</v>
      </c>
      <c r="C476" s="105">
        <f t="shared" si="18"/>
        <v>42672</v>
      </c>
      <c r="D476" s="105" t="s">
        <v>558</v>
      </c>
      <c r="E476" s="110">
        <v>42672</v>
      </c>
      <c r="F476" s="109" t="s">
        <v>498</v>
      </c>
      <c r="G476" s="296" t="s">
        <v>762</v>
      </c>
      <c r="H476" s="4" t="s">
        <v>369</v>
      </c>
      <c r="I476" s="133">
        <f>102+52+52</f>
        <v>206</v>
      </c>
      <c r="J476" s="133">
        <v>9800</v>
      </c>
      <c r="K476" s="13">
        <f>ROUND(I476*J476,0)</f>
        <v>2018800</v>
      </c>
      <c r="L476" s="113" t="s">
        <v>251</v>
      </c>
      <c r="M476" s="402" t="s">
        <v>168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/>
      </c>
      <c r="Z476" s="563"/>
    </row>
    <row r="477" spans="1:26" ht="15.75" customHeight="1">
      <c r="A477" s="120" t="str">
        <f>IF(B477&lt;&gt;"",IF(AND(B477&gt;=_TM1,B477&lt;=_TM2,OR(TH!L477="1111",TH!M477="1111")),TH!D477,""),"")</f>
        <v/>
      </c>
      <c r="B477" s="12">
        <f t="shared" si="17"/>
        <v>10</v>
      </c>
      <c r="C477" s="105">
        <f t="shared" si="18"/>
        <v>42672</v>
      </c>
      <c r="D477" s="105" t="s">
        <v>558</v>
      </c>
      <c r="E477" s="110">
        <v>42672</v>
      </c>
      <c r="F477" s="109" t="s">
        <v>669</v>
      </c>
      <c r="G477" s="296" t="s">
        <v>762</v>
      </c>
      <c r="H477" s="4" t="s">
        <v>369</v>
      </c>
      <c r="I477" s="133">
        <v>330</v>
      </c>
      <c r="J477" s="133">
        <v>7000</v>
      </c>
      <c r="K477" s="13">
        <f>ROUND(I477*J477,0)</f>
        <v>2310000</v>
      </c>
      <c r="L477" s="113" t="s">
        <v>251</v>
      </c>
      <c r="M477" s="402" t="s">
        <v>168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/>
      </c>
      <c r="Z477" s="563"/>
    </row>
    <row r="478" spans="1:26" ht="15.75" customHeight="1">
      <c r="A478" s="120" t="str">
        <f>IF(B478&lt;&gt;"",IF(AND(B478&gt;=_TM1,B478&lt;=_TM2,OR(TH!L478="1111",TH!M478="1111")),TH!D478,""),"")</f>
        <v/>
      </c>
      <c r="B478" s="12">
        <f t="shared" si="17"/>
        <v>10</v>
      </c>
      <c r="C478" s="105">
        <f t="shared" si="18"/>
        <v>42672</v>
      </c>
      <c r="D478" s="105" t="s">
        <v>558</v>
      </c>
      <c r="E478" s="110">
        <v>42672</v>
      </c>
      <c r="F478" s="109" t="s">
        <v>670</v>
      </c>
      <c r="G478" s="296" t="s">
        <v>762</v>
      </c>
      <c r="H478" s="4" t="s">
        <v>369</v>
      </c>
      <c r="I478" s="133">
        <v>23</v>
      </c>
      <c r="J478" s="133">
        <v>8700</v>
      </c>
      <c r="K478" s="13">
        <f>ROUND(I478*J478,0)</f>
        <v>200100</v>
      </c>
      <c r="L478" s="113" t="s">
        <v>251</v>
      </c>
      <c r="M478" s="402" t="s">
        <v>168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/>
      </c>
      <c r="Z478" s="563"/>
    </row>
    <row r="479" spans="1:26" ht="15.75" customHeight="1">
      <c r="A479" s="120" t="str">
        <f>IF(B479&lt;&gt;"",IF(AND(B479&gt;=_TM1,B479&lt;=_TM2,OR(TH!L479="1111",TH!M479="1111")),TH!D479,""),"")</f>
        <v/>
      </c>
      <c r="B479" s="12">
        <f t="shared" si="17"/>
        <v>10</v>
      </c>
      <c r="C479" s="105">
        <f t="shared" si="18"/>
        <v>42672</v>
      </c>
      <c r="D479" s="105" t="s">
        <v>558</v>
      </c>
      <c r="E479" s="110">
        <v>42672</v>
      </c>
      <c r="F479" s="109" t="s">
        <v>671</v>
      </c>
      <c r="G479" s="296" t="s">
        <v>762</v>
      </c>
      <c r="H479" s="4" t="s">
        <v>369</v>
      </c>
      <c r="I479" s="133">
        <v>55</v>
      </c>
      <c r="J479" s="133">
        <v>12300</v>
      </c>
      <c r="K479" s="13">
        <f>ROUND(I479*J479,0)</f>
        <v>676500</v>
      </c>
      <c r="L479" s="113" t="s">
        <v>251</v>
      </c>
      <c r="M479" s="402" t="s">
        <v>168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/>
      </c>
      <c r="Z479" s="563"/>
    </row>
    <row r="480" spans="1:26" ht="15.75" customHeight="1">
      <c r="A480" s="120" t="str">
        <f>IF(B480&lt;&gt;"",IF(AND(B480&gt;=_TM1,B480&lt;=_TM2,OR(TH!L480="1111",TH!M480="1111")),TH!D480,""),"")</f>
        <v/>
      </c>
      <c r="B480" s="12">
        <f t="shared" si="17"/>
        <v>10</v>
      </c>
      <c r="C480" s="105">
        <f t="shared" si="18"/>
        <v>42672</v>
      </c>
      <c r="D480" s="105" t="s">
        <v>558</v>
      </c>
      <c r="E480" s="110">
        <v>42672</v>
      </c>
      <c r="F480" s="109" t="s">
        <v>494</v>
      </c>
      <c r="G480" s="296" t="s">
        <v>762</v>
      </c>
      <c r="H480" s="4" t="s">
        <v>369</v>
      </c>
      <c r="I480" s="133"/>
      <c r="J480" s="133"/>
      <c r="K480" s="13">
        <v>520540</v>
      </c>
      <c r="L480" s="113" t="s">
        <v>251</v>
      </c>
      <c r="M480" s="402" t="s">
        <v>350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/>
      </c>
      <c r="Z480" s="563"/>
    </row>
    <row r="481" spans="1:26" ht="15.75" customHeight="1">
      <c r="A481" s="120" t="str">
        <f>IF(B481&lt;&gt;"",IF(AND(B481&gt;=_TM1,B481&lt;=_TM2,OR(TH!L481="1111",TH!M481="1111")),TH!D481,""),"")</f>
        <v/>
      </c>
      <c r="B481" s="12">
        <f t="shared" si="17"/>
        <v>10</v>
      </c>
      <c r="C481" s="105">
        <f t="shared" si="18"/>
        <v>42672</v>
      </c>
      <c r="D481" s="105" t="s">
        <v>559</v>
      </c>
      <c r="E481" s="110">
        <v>42672</v>
      </c>
      <c r="F481" s="109" t="s">
        <v>672</v>
      </c>
      <c r="G481" s="296" t="s">
        <v>763</v>
      </c>
      <c r="H481" s="4" t="s">
        <v>369</v>
      </c>
      <c r="I481" s="133">
        <v>210</v>
      </c>
      <c r="J481" s="133">
        <v>9200</v>
      </c>
      <c r="K481" s="13">
        <f t="shared" ref="K481:K488" si="19">ROUND(I481*J481,0)</f>
        <v>1932000</v>
      </c>
      <c r="L481" s="113" t="s">
        <v>251</v>
      </c>
      <c r="M481" s="402" t="s">
        <v>168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/>
      </c>
      <c r="Z481" s="563"/>
    </row>
    <row r="482" spans="1:26" ht="15.75" customHeight="1">
      <c r="A482" s="120" t="str">
        <f>IF(B482&lt;&gt;"",IF(AND(B482&gt;=_TM1,B482&lt;=_TM2,OR(TH!L482="1111",TH!M482="1111")),TH!D482,""),"")</f>
        <v/>
      </c>
      <c r="B482" s="12">
        <f t="shared" si="17"/>
        <v>10</v>
      </c>
      <c r="C482" s="105">
        <f t="shared" si="18"/>
        <v>42672</v>
      </c>
      <c r="D482" s="105" t="s">
        <v>559</v>
      </c>
      <c r="E482" s="110">
        <v>42672</v>
      </c>
      <c r="F482" s="109" t="s">
        <v>673</v>
      </c>
      <c r="G482" s="296" t="s">
        <v>763</v>
      </c>
      <c r="H482" s="4" t="s">
        <v>369</v>
      </c>
      <c r="I482" s="133">
        <v>160</v>
      </c>
      <c r="J482" s="133">
        <v>19700</v>
      </c>
      <c r="K482" s="13">
        <f t="shared" si="19"/>
        <v>3152000</v>
      </c>
      <c r="L482" s="113" t="s">
        <v>251</v>
      </c>
      <c r="M482" s="402" t="s">
        <v>168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/>
      </c>
      <c r="Z482" s="563"/>
    </row>
    <row r="483" spans="1:26" ht="15.75" customHeight="1">
      <c r="A483" s="120" t="str">
        <f>IF(B483&lt;&gt;"",IF(AND(B483&gt;=_TM1,B483&lt;=_TM2,OR(TH!L483="1111",TH!M483="1111")),TH!D483,""),"")</f>
        <v/>
      </c>
      <c r="B483" s="12">
        <f t="shared" si="17"/>
        <v>10</v>
      </c>
      <c r="C483" s="105">
        <f t="shared" si="18"/>
        <v>42672</v>
      </c>
      <c r="D483" s="105" t="s">
        <v>559</v>
      </c>
      <c r="E483" s="110">
        <v>42672</v>
      </c>
      <c r="F483" s="109" t="s">
        <v>498</v>
      </c>
      <c r="G483" s="296" t="s">
        <v>763</v>
      </c>
      <c r="H483" s="4" t="s">
        <v>369</v>
      </c>
      <c r="I483" s="133">
        <v>160</v>
      </c>
      <c r="J483" s="133">
        <v>9800</v>
      </c>
      <c r="K483" s="13">
        <f t="shared" si="19"/>
        <v>1568000</v>
      </c>
      <c r="L483" s="113" t="s">
        <v>251</v>
      </c>
      <c r="M483" s="402" t="s">
        <v>168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/>
      </c>
      <c r="Z483" s="563"/>
    </row>
    <row r="484" spans="1:26" ht="15.75" customHeight="1">
      <c r="A484" s="120" t="str">
        <f>IF(B484&lt;&gt;"",IF(AND(B484&gt;=_TM1,B484&lt;=_TM2,OR(TH!L484="1111",TH!M484="1111")),TH!D484,""),"")</f>
        <v/>
      </c>
      <c r="B484" s="12">
        <f t="shared" si="17"/>
        <v>10</v>
      </c>
      <c r="C484" s="105">
        <f t="shared" si="18"/>
        <v>42672</v>
      </c>
      <c r="D484" s="105" t="s">
        <v>559</v>
      </c>
      <c r="E484" s="110">
        <v>42672</v>
      </c>
      <c r="F484" s="109" t="s">
        <v>674</v>
      </c>
      <c r="G484" s="296" t="s">
        <v>763</v>
      </c>
      <c r="H484" s="4" t="s">
        <v>369</v>
      </c>
      <c r="I484" s="133">
        <v>160</v>
      </c>
      <c r="J484" s="133">
        <v>8200</v>
      </c>
      <c r="K484" s="13">
        <f t="shared" si="19"/>
        <v>1312000</v>
      </c>
      <c r="L484" s="113" t="s">
        <v>251</v>
      </c>
      <c r="M484" s="402" t="s">
        <v>168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/>
      </c>
      <c r="Z484" s="563"/>
    </row>
    <row r="485" spans="1:26" ht="15.75" customHeight="1">
      <c r="A485" s="120" t="str">
        <f>IF(B485&lt;&gt;"",IF(AND(B485&gt;=_TM1,B485&lt;=_TM2,OR(TH!L485="1111",TH!M485="1111")),TH!D485,""),"")</f>
        <v/>
      </c>
      <c r="B485" s="12">
        <f t="shared" si="17"/>
        <v>10</v>
      </c>
      <c r="C485" s="105">
        <f t="shared" si="18"/>
        <v>42672</v>
      </c>
      <c r="D485" s="105" t="s">
        <v>559</v>
      </c>
      <c r="E485" s="110">
        <v>42672</v>
      </c>
      <c r="F485" s="109" t="s">
        <v>675</v>
      </c>
      <c r="G485" s="296" t="s">
        <v>763</v>
      </c>
      <c r="H485" s="4" t="s">
        <v>369</v>
      </c>
      <c r="I485" s="133">
        <v>103</v>
      </c>
      <c r="J485" s="133">
        <v>9500</v>
      </c>
      <c r="K485" s="13">
        <f t="shared" si="19"/>
        <v>978500</v>
      </c>
      <c r="L485" s="113" t="s">
        <v>251</v>
      </c>
      <c r="M485" s="402" t="s">
        <v>168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/>
      </c>
      <c r="Z485" s="563"/>
    </row>
    <row r="486" spans="1:26" ht="15.75" customHeight="1">
      <c r="A486" s="120" t="str">
        <f>IF(B486&lt;&gt;"",IF(AND(B486&gt;=_TM1,B486&lt;=_TM2,OR(TH!L486="1111",TH!M486="1111")),TH!D486,""),"")</f>
        <v/>
      </c>
      <c r="B486" s="12">
        <f t="shared" si="17"/>
        <v>10</v>
      </c>
      <c r="C486" s="105">
        <f t="shared" si="18"/>
        <v>42672</v>
      </c>
      <c r="D486" s="105" t="s">
        <v>559</v>
      </c>
      <c r="E486" s="110">
        <v>42672</v>
      </c>
      <c r="F486" s="109" t="s">
        <v>676</v>
      </c>
      <c r="G486" s="296" t="s">
        <v>763</v>
      </c>
      <c r="H486" s="4" t="s">
        <v>369</v>
      </c>
      <c r="I486" s="133">
        <v>7</v>
      </c>
      <c r="J486" s="133">
        <v>15400</v>
      </c>
      <c r="K486" s="13">
        <f t="shared" si="19"/>
        <v>107800</v>
      </c>
      <c r="L486" s="113" t="s">
        <v>251</v>
      </c>
      <c r="M486" s="402" t="s">
        <v>168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/>
      </c>
      <c r="Z486" s="563"/>
    </row>
    <row r="487" spans="1:26" ht="15.75" customHeight="1">
      <c r="A487" s="120" t="str">
        <f>IF(B487&lt;&gt;"",IF(AND(B487&gt;=_TM1,B487&lt;=_TM2,OR(TH!L487="1111",TH!M487="1111")),TH!D487,""),"")</f>
        <v/>
      </c>
      <c r="B487" s="12">
        <f t="shared" si="17"/>
        <v>10</v>
      </c>
      <c r="C487" s="105">
        <f t="shared" si="18"/>
        <v>42672</v>
      </c>
      <c r="D487" s="105" t="s">
        <v>559</v>
      </c>
      <c r="E487" s="110">
        <v>42672</v>
      </c>
      <c r="F487" s="109" t="s">
        <v>677</v>
      </c>
      <c r="G487" s="296" t="s">
        <v>763</v>
      </c>
      <c r="H487" s="4" t="s">
        <v>369</v>
      </c>
      <c r="I487" s="133">
        <v>105</v>
      </c>
      <c r="J487" s="133">
        <v>8100</v>
      </c>
      <c r="K487" s="13">
        <f t="shared" si="19"/>
        <v>850500</v>
      </c>
      <c r="L487" s="113" t="s">
        <v>251</v>
      </c>
      <c r="M487" s="402" t="s">
        <v>168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/>
      </c>
      <c r="Z487" s="563"/>
    </row>
    <row r="488" spans="1:26" ht="15.75" customHeight="1">
      <c r="A488" s="120" t="str">
        <f>IF(B488&lt;&gt;"",IF(AND(B488&gt;=_TM1,B488&lt;=_TM2,OR(TH!L488="1111",TH!M488="1111")),TH!D488,""),"")</f>
        <v/>
      </c>
      <c r="B488" s="12">
        <f t="shared" si="17"/>
        <v>10</v>
      </c>
      <c r="C488" s="105">
        <f t="shared" si="18"/>
        <v>42672</v>
      </c>
      <c r="D488" s="105" t="s">
        <v>559</v>
      </c>
      <c r="E488" s="110">
        <v>42672</v>
      </c>
      <c r="F488" s="109" t="s">
        <v>678</v>
      </c>
      <c r="G488" s="296" t="s">
        <v>763</v>
      </c>
      <c r="H488" s="4" t="s">
        <v>369</v>
      </c>
      <c r="I488" s="133">
        <v>110</v>
      </c>
      <c r="J488" s="133">
        <v>6500</v>
      </c>
      <c r="K488" s="13">
        <f t="shared" si="19"/>
        <v>715000</v>
      </c>
      <c r="L488" s="113" t="s">
        <v>251</v>
      </c>
      <c r="M488" s="402" t="s">
        <v>168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/>
      </c>
      <c r="Z488" s="563"/>
    </row>
    <row r="489" spans="1:26" ht="15.75" customHeight="1">
      <c r="A489" s="120" t="str">
        <f>IF(B489&lt;&gt;"",IF(AND(B489&gt;=_TM1,B489&lt;=_TM2,OR(TH!L489="1111",TH!M489="1111")),TH!D489,""),"")</f>
        <v/>
      </c>
      <c r="B489" s="12">
        <f t="shared" si="17"/>
        <v>10</v>
      </c>
      <c r="C489" s="105">
        <f t="shared" si="18"/>
        <v>42672</v>
      </c>
      <c r="D489" s="105" t="s">
        <v>559</v>
      </c>
      <c r="E489" s="110">
        <v>42672</v>
      </c>
      <c r="F489" s="109" t="s">
        <v>494</v>
      </c>
      <c r="G489" s="296" t="s">
        <v>763</v>
      </c>
      <c r="H489" s="4" t="s">
        <v>369</v>
      </c>
      <c r="I489" s="133"/>
      <c r="J489" s="133"/>
      <c r="K489" s="13">
        <v>1061580</v>
      </c>
      <c r="L489" s="113" t="s">
        <v>251</v>
      </c>
      <c r="M489" s="402" t="s">
        <v>350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/>
      </c>
      <c r="Z489" s="563"/>
    </row>
    <row r="490" spans="1:26" ht="15.75" customHeight="1">
      <c r="A490" s="120" t="str">
        <f>IF(B490&lt;&gt;"",IF(AND(B490&gt;=_TM1,B490&lt;=_TM2,OR(TH!L490="1111",TH!M490="1111")),TH!D490,""),"")</f>
        <v>C09</v>
      </c>
      <c r="B490" s="12">
        <f t="shared" si="17"/>
        <v>10</v>
      </c>
      <c r="C490" s="105">
        <f t="shared" si="18"/>
        <v>42673</v>
      </c>
      <c r="D490" s="110" t="s">
        <v>462</v>
      </c>
      <c r="E490" s="110">
        <v>42673</v>
      </c>
      <c r="F490" s="109" t="s">
        <v>624</v>
      </c>
      <c r="G490" s="296"/>
      <c r="H490" s="112" t="s">
        <v>486</v>
      </c>
      <c r="I490" s="133"/>
      <c r="J490" s="133"/>
      <c r="K490" s="13">
        <f>ROUND((21*15000+2*10000)/1.1,0)</f>
        <v>304545</v>
      </c>
      <c r="L490" s="113" t="s">
        <v>253</v>
      </c>
      <c r="M490" s="402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>x</v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/>
      </c>
      <c r="Z490" s="563">
        <v>4</v>
      </c>
    </row>
    <row r="491" spans="1:26" ht="15.75" customHeight="1">
      <c r="A491" s="120" t="str">
        <f>IF(B491&lt;&gt;"",IF(AND(B491&gt;=_TM1,B491&lt;=_TM2,OR(TH!L491="1111",TH!M491="1111")),TH!D491,""),"")</f>
        <v>C09</v>
      </c>
      <c r="B491" s="12">
        <f t="shared" si="17"/>
        <v>10</v>
      </c>
      <c r="C491" s="105">
        <f t="shared" si="18"/>
        <v>42673</v>
      </c>
      <c r="D491" s="110" t="s">
        <v>462</v>
      </c>
      <c r="E491" s="110">
        <v>42673</v>
      </c>
      <c r="F491" s="109" t="s">
        <v>625</v>
      </c>
      <c r="G491" s="296"/>
      <c r="H491" s="112" t="s">
        <v>486</v>
      </c>
      <c r="I491" s="133"/>
      <c r="J491" s="133"/>
      <c r="K491" s="13">
        <v>30455</v>
      </c>
      <c r="L491" s="113" t="s">
        <v>9</v>
      </c>
      <c r="M491" s="402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>x</v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/>
      </c>
      <c r="Z491" s="563">
        <v>4</v>
      </c>
    </row>
    <row r="492" spans="1:26" ht="15.75" customHeight="1">
      <c r="A492" s="120" t="str">
        <f>IF(B492&lt;&gt;"",IF(AND(B492&gt;=_TM1,B492&lt;=_TM2,OR(TH!L492="1111",TH!M492="1111")),TH!D492,""),"")</f>
        <v/>
      </c>
      <c r="B492" s="580">
        <f t="shared" si="17"/>
        <v>10</v>
      </c>
      <c r="C492" s="557">
        <f t="shared" si="18"/>
        <v>42674</v>
      </c>
      <c r="D492" s="557" t="s">
        <v>323</v>
      </c>
      <c r="E492" s="557">
        <v>42674</v>
      </c>
      <c r="F492" s="560" t="s">
        <v>819</v>
      </c>
      <c r="G492" s="576"/>
      <c r="H492" s="577"/>
      <c r="I492" s="559"/>
      <c r="J492" s="559"/>
      <c r="K492" s="562">
        <v>4390000</v>
      </c>
      <c r="L492" s="578" t="s">
        <v>82</v>
      </c>
      <c r="M492" s="578" t="s">
        <v>254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>x</v>
      </c>
      <c r="Y492" s="22" t="str">
        <f>IF(AND(B492&lt;=NKC!$N$8,B492&gt;=NKC!$M$8),"x","")</f>
        <v/>
      </c>
      <c r="Z492" s="579"/>
    </row>
    <row r="493" spans="1:26" ht="15.75" customHeight="1">
      <c r="A493" s="120" t="str">
        <f>IF(B493&lt;&gt;"",IF(AND(B493&gt;=_TM1,B493&lt;=_TM2,OR(TH!L493="1111",TH!M493="1111")),TH!D493,""),"")</f>
        <v/>
      </c>
      <c r="B493" s="580">
        <f t="shared" si="17"/>
        <v>10</v>
      </c>
      <c r="C493" s="557">
        <f t="shared" si="18"/>
        <v>42674</v>
      </c>
      <c r="D493" s="557" t="s">
        <v>323</v>
      </c>
      <c r="E493" s="557">
        <v>42674</v>
      </c>
      <c r="F493" s="560" t="s">
        <v>820</v>
      </c>
      <c r="G493" s="576"/>
      <c r="H493" s="577"/>
      <c r="I493" s="559"/>
      <c r="J493" s="559"/>
      <c r="K493" s="562">
        <v>13960000</v>
      </c>
      <c r="L493" s="578" t="s">
        <v>159</v>
      </c>
      <c r="M493" s="578" t="s">
        <v>254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/>
      </c>
      <c r="Z493" s="579"/>
    </row>
    <row r="494" spans="1:26" ht="15.75" customHeight="1">
      <c r="A494" s="120" t="str">
        <f>IF(B494&lt;&gt;"",IF(AND(B494&gt;=_TM1,B494&lt;=_TM2,OR(TH!L494="1111",TH!M494="1111")),TH!D494,""),"")</f>
        <v>C10</v>
      </c>
      <c r="B494" s="580">
        <f t="shared" si="17"/>
        <v>10</v>
      </c>
      <c r="C494" s="557">
        <f t="shared" si="18"/>
        <v>42674</v>
      </c>
      <c r="D494" s="557" t="s">
        <v>464</v>
      </c>
      <c r="E494" s="557">
        <v>42674</v>
      </c>
      <c r="F494" s="560" t="str">
        <f>"Thanh toán tiền lương tháng "&amp;MONTH(E494)&amp;"/"&amp;YEAR(E494)</f>
        <v>Thanh toán tiền lương tháng 10/2016</v>
      </c>
      <c r="G494" s="576"/>
      <c r="H494" s="577" t="s">
        <v>794</v>
      </c>
      <c r="I494" s="559"/>
      <c r="J494" s="559"/>
      <c r="K494" s="562">
        <f>K492+K493</f>
        <v>18350000</v>
      </c>
      <c r="L494" s="578" t="s">
        <v>254</v>
      </c>
      <c r="M494" s="578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>x</v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/>
      </c>
      <c r="Z494" s="579"/>
    </row>
    <row r="495" spans="1:26" ht="15.75" customHeight="1">
      <c r="A495" s="120" t="str">
        <f>IF(B495&lt;&gt;"",IF(AND(B495&gt;=_TM1,B495&lt;=_TM2,OR(TH!L495="1111",TH!M495="1111")),TH!D495,""),"")</f>
        <v/>
      </c>
      <c r="B495" s="12">
        <f t="shared" si="17"/>
        <v>10</v>
      </c>
      <c r="C495" s="105">
        <f t="shared" si="18"/>
        <v>42674</v>
      </c>
      <c r="D495" s="110" t="s">
        <v>953</v>
      </c>
      <c r="E495" s="110">
        <v>42674</v>
      </c>
      <c r="F495" s="109" t="s">
        <v>877</v>
      </c>
      <c r="G495" s="298" t="s">
        <v>955</v>
      </c>
      <c r="H495" s="4" t="s">
        <v>879</v>
      </c>
      <c r="I495" s="133">
        <v>30200</v>
      </c>
      <c r="J495" s="133">
        <v>8400</v>
      </c>
      <c r="K495" s="13">
        <f>ROUND(I495*J495,0)</f>
        <v>253680000</v>
      </c>
      <c r="L495" s="113" t="s">
        <v>153</v>
      </c>
      <c r="M495" s="402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/>
      </c>
      <c r="Z495" s="563">
        <v>4</v>
      </c>
    </row>
    <row r="496" spans="1:26" ht="15.75" customHeight="1">
      <c r="A496" s="120" t="str">
        <f>IF(B496&lt;&gt;"",IF(AND(B496&gt;=_TM1,B496&lt;=_TM2,OR(TH!L496="1111",TH!M496="1111")),TH!D496,""),"")</f>
        <v/>
      </c>
      <c r="B496" s="12">
        <f t="shared" si="17"/>
        <v>10</v>
      </c>
      <c r="C496" s="105">
        <f t="shared" si="18"/>
        <v>42674</v>
      </c>
      <c r="D496" s="110" t="s">
        <v>953</v>
      </c>
      <c r="E496" s="110">
        <v>42674</v>
      </c>
      <c r="F496" s="109" t="s">
        <v>878</v>
      </c>
      <c r="G496" s="298" t="s">
        <v>955</v>
      </c>
      <c r="H496" s="4" t="s">
        <v>879</v>
      </c>
      <c r="I496" s="133"/>
      <c r="J496" s="133"/>
      <c r="K496" s="13">
        <v>25368000</v>
      </c>
      <c r="L496" s="113" t="s">
        <v>9</v>
      </c>
      <c r="M496" s="113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/>
      </c>
      <c r="Z496" s="563">
        <v>4</v>
      </c>
    </row>
    <row r="497" spans="1:26" ht="15.75" customHeight="1">
      <c r="A497" s="120" t="str">
        <f>IF(B497&lt;&gt;"",IF(AND(B497&gt;=_TM1,B497&lt;=_TM2,OR(TH!L497="1111",TH!M497="1111")),TH!D497,""),"")</f>
        <v>C11</v>
      </c>
      <c r="B497" s="12">
        <f t="shared" si="17"/>
        <v>11</v>
      </c>
      <c r="C497" s="105">
        <f t="shared" si="18"/>
        <v>42676</v>
      </c>
      <c r="D497" s="110" t="s">
        <v>465</v>
      </c>
      <c r="E497" s="110">
        <v>42676</v>
      </c>
      <c r="F497" s="109" t="s">
        <v>771</v>
      </c>
      <c r="G497" s="298" t="s">
        <v>863</v>
      </c>
      <c r="H497" s="125" t="s">
        <v>695</v>
      </c>
      <c r="I497" s="133"/>
      <c r="J497" s="133"/>
      <c r="K497" s="13">
        <v>4912090</v>
      </c>
      <c r="L497" s="113" t="s">
        <v>253</v>
      </c>
      <c r="M497" s="402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>x</v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/>
      </c>
      <c r="Z497" s="563">
        <v>4</v>
      </c>
    </row>
    <row r="498" spans="1:26" ht="15.75" customHeight="1">
      <c r="A498" s="120" t="str">
        <f>IF(B498&lt;&gt;"",IF(AND(B498&gt;=_TM1,B498&lt;=_TM2,OR(TH!L498="1111",TH!M498="1111")),TH!D498,""),"")</f>
        <v>C11</v>
      </c>
      <c r="B498" s="12">
        <f t="shared" si="17"/>
        <v>11</v>
      </c>
      <c r="C498" s="105">
        <f t="shared" si="18"/>
        <v>42676</v>
      </c>
      <c r="D498" s="110" t="s">
        <v>465</v>
      </c>
      <c r="E498" s="110">
        <v>42676</v>
      </c>
      <c r="F498" s="109" t="s">
        <v>772</v>
      </c>
      <c r="G498" s="298" t="s">
        <v>863</v>
      </c>
      <c r="H498" s="125" t="s">
        <v>695</v>
      </c>
      <c r="I498" s="133"/>
      <c r="J498" s="133"/>
      <c r="K498" s="13">
        <v>491210</v>
      </c>
      <c r="L498" s="113" t="s">
        <v>9</v>
      </c>
      <c r="M498" s="402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>x</v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/>
      </c>
      <c r="Z498" s="563">
        <v>4</v>
      </c>
    </row>
    <row r="499" spans="1:26" ht="15.75" customHeight="1">
      <c r="A499" s="120" t="str">
        <f>IF(B499&lt;&gt;"",IF(AND(B499&gt;=_TM1,B499&lt;=_TM2,OR(TH!L499="1111",TH!M499="1111")),TH!D499,""),"")</f>
        <v/>
      </c>
      <c r="B499" s="12">
        <f t="shared" si="17"/>
        <v>11</v>
      </c>
      <c r="C499" s="105">
        <f t="shared" si="18"/>
        <v>42677</v>
      </c>
      <c r="D499" s="105" t="s">
        <v>467</v>
      </c>
      <c r="E499" s="110">
        <v>42677</v>
      </c>
      <c r="F499" s="109" t="s">
        <v>482</v>
      </c>
      <c r="G499" s="111" t="s">
        <v>472</v>
      </c>
      <c r="H499" s="112" t="s">
        <v>681</v>
      </c>
      <c r="I499" s="133"/>
      <c r="J499" s="135"/>
      <c r="K499" s="13">
        <v>84216000</v>
      </c>
      <c r="L499" s="113" t="s">
        <v>24</v>
      </c>
      <c r="M499" s="402" t="s">
        <v>251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/>
      </c>
      <c r="Z499" s="563"/>
    </row>
    <row r="500" spans="1:26" ht="15.75" customHeight="1">
      <c r="A500" s="120" t="str">
        <f>IF(B500&lt;&gt;"",IF(AND(B500&gt;=_TM1,B500&lt;=_TM2,OR(TH!L500="1111",TH!M500="1111")),TH!D500,""),"")</f>
        <v/>
      </c>
      <c r="B500" s="12">
        <f t="shared" si="17"/>
        <v>11</v>
      </c>
      <c r="C500" s="105">
        <f t="shared" si="18"/>
        <v>42678</v>
      </c>
      <c r="D500" s="110" t="s">
        <v>943</v>
      </c>
      <c r="E500" s="110">
        <v>42678</v>
      </c>
      <c r="F500" s="109" t="s">
        <v>860</v>
      </c>
      <c r="G500" s="298" t="s">
        <v>744</v>
      </c>
      <c r="H500" s="112" t="s">
        <v>861</v>
      </c>
      <c r="I500" s="133">
        <v>430</v>
      </c>
      <c r="J500" s="133">
        <v>23500</v>
      </c>
      <c r="K500" s="13">
        <f>ROUND(I500*J500,0)</f>
        <v>10105000</v>
      </c>
      <c r="L500" s="113" t="s">
        <v>155</v>
      </c>
      <c r="M500" s="113" t="s">
        <v>8</v>
      </c>
      <c r="N500" s="22" t="str">
        <f>IF(AND('331-CT'!$E$7=TH!H500,OR(L500="331",M500="331")),"331",IF(AND(OR(L500="131",M500="131"),H500='131-CT'!$E$7),"131",""))</f>
        <v/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/>
      </c>
      <c r="Z500" s="563">
        <v>4</v>
      </c>
    </row>
    <row r="501" spans="1:26" ht="15.75" customHeight="1">
      <c r="A501" s="120" t="str">
        <f>IF(B501&lt;&gt;"",IF(AND(B501&gt;=_TM1,B501&lt;=_TM2,OR(TH!L501="1111",TH!M501="1111")),TH!D501,""),"")</f>
        <v/>
      </c>
      <c r="B501" s="12">
        <f t="shared" si="17"/>
        <v>11</v>
      </c>
      <c r="C501" s="105">
        <f t="shared" si="18"/>
        <v>42678</v>
      </c>
      <c r="D501" s="110" t="s">
        <v>943</v>
      </c>
      <c r="E501" s="110">
        <v>42678</v>
      </c>
      <c r="F501" s="109" t="s">
        <v>862</v>
      </c>
      <c r="G501" s="298" t="s">
        <v>744</v>
      </c>
      <c r="H501" s="112" t="s">
        <v>861</v>
      </c>
      <c r="I501" s="133">
        <v>250</v>
      </c>
      <c r="J501" s="133">
        <v>9000</v>
      </c>
      <c r="K501" s="13">
        <f>ROUND(I501*J501,0)</f>
        <v>2250000</v>
      </c>
      <c r="L501" s="113" t="s">
        <v>155</v>
      </c>
      <c r="M501" s="113" t="s">
        <v>8</v>
      </c>
      <c r="N501" s="22" t="str">
        <f>IF(AND('331-CT'!$E$7=TH!H501,OR(L501="331",M501="331")),"331",IF(AND(OR(L501="131",M501="131"),H501='131-CT'!$E$7),"131",""))</f>
        <v/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/>
      </c>
      <c r="Z501" s="563">
        <v>4</v>
      </c>
    </row>
    <row r="502" spans="1:26" ht="15.75" customHeight="1">
      <c r="A502" s="120" t="str">
        <f>IF(B502&lt;&gt;"",IF(AND(B502&gt;=_TM1,B502&lt;=_TM2,OR(TH!L502="1111",TH!M502="1111")),TH!D502,""),"")</f>
        <v/>
      </c>
      <c r="B502" s="12">
        <f t="shared" si="17"/>
        <v>11</v>
      </c>
      <c r="C502" s="105">
        <f t="shared" si="18"/>
        <v>42678</v>
      </c>
      <c r="D502" s="110" t="s">
        <v>943</v>
      </c>
      <c r="E502" s="110">
        <v>42678</v>
      </c>
      <c r="F502" s="109" t="s">
        <v>859</v>
      </c>
      <c r="G502" s="298" t="s">
        <v>744</v>
      </c>
      <c r="H502" s="112" t="s">
        <v>861</v>
      </c>
      <c r="I502" s="133"/>
      <c r="J502" s="133"/>
      <c r="K502" s="13">
        <v>1235500</v>
      </c>
      <c r="L502" s="113" t="s">
        <v>9</v>
      </c>
      <c r="M502" s="113" t="s">
        <v>8</v>
      </c>
      <c r="N502" s="22" t="str">
        <f>IF(AND('331-CT'!$E$7=TH!H502,OR(L502="331",M502="331")),"331",IF(AND(OR(L502="131",M502="131"),H502='131-CT'!$E$7),"131",""))</f>
        <v/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/>
      </c>
      <c r="Z502" s="563">
        <v>4</v>
      </c>
    </row>
    <row r="503" spans="1:26" ht="15.75" customHeight="1">
      <c r="A503" s="120" t="str">
        <f>IF(B503&lt;&gt;"",IF(AND(B503&gt;=_TM1,B503&lt;=_TM2,OR(TH!L503="1111",TH!M503="1111")),TH!D503,""),"")</f>
        <v>C12</v>
      </c>
      <c r="B503" s="12">
        <f t="shared" si="17"/>
        <v>11</v>
      </c>
      <c r="C503" s="105">
        <f t="shared" si="18"/>
        <v>42678</v>
      </c>
      <c r="D503" s="110" t="s">
        <v>466</v>
      </c>
      <c r="E503" s="110">
        <v>42678</v>
      </c>
      <c r="F503" s="111" t="s">
        <v>463</v>
      </c>
      <c r="G503" s="298" t="s">
        <v>744</v>
      </c>
      <c r="H503" s="112" t="s">
        <v>861</v>
      </c>
      <c r="I503" s="133"/>
      <c r="J503" s="133"/>
      <c r="K503" s="13">
        <v>13590500</v>
      </c>
      <c r="L503" s="113" t="s">
        <v>8</v>
      </c>
      <c r="M503" s="402" t="s">
        <v>46</v>
      </c>
      <c r="N503" s="22" t="str">
        <f>IF(AND('331-CT'!$E$7=TH!H503,OR(L503="331",M503="331")),"331",IF(AND(OR(L503="131",M503="131"),H503='131-CT'!$E$7),"131",""))</f>
        <v/>
      </c>
      <c r="O503" s="22" t="str">
        <f>IF(AND($B503&gt;='111'!$N$11,$B503&lt;='111'!$O$11,OR($L503=$O$7,$M503=$O$7)),"x","")</f>
        <v>x</v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/>
      </c>
      <c r="Z503" s="563"/>
    </row>
    <row r="504" spans="1:26" ht="15.75" customHeight="1">
      <c r="A504" s="120" t="str">
        <f>IF(B504&lt;&gt;"",IF(AND(B504&gt;=_TM1,B504&lt;=_TM2,OR(TH!L504="1111",TH!M504="1111")),TH!D504,""),"")</f>
        <v/>
      </c>
      <c r="B504" s="12">
        <f t="shared" si="17"/>
        <v>11</v>
      </c>
      <c r="C504" s="105">
        <f t="shared" si="18"/>
        <v>42678</v>
      </c>
      <c r="D504" s="105" t="s">
        <v>468</v>
      </c>
      <c r="E504" s="110">
        <v>42678</v>
      </c>
      <c r="F504" s="111" t="s">
        <v>463</v>
      </c>
      <c r="G504" s="111" t="s">
        <v>472</v>
      </c>
      <c r="H504" s="547" t="s">
        <v>397</v>
      </c>
      <c r="I504" s="133"/>
      <c r="J504" s="133"/>
      <c r="K504" s="13">
        <v>25000000</v>
      </c>
      <c r="L504" s="113" t="s">
        <v>8</v>
      </c>
      <c r="M504" s="402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/>
      </c>
      <c r="Z504" s="563"/>
    </row>
    <row r="505" spans="1:26" ht="15.75" customHeight="1">
      <c r="A505" s="120" t="str">
        <f>IF(B505&lt;&gt;"",IF(AND(B505&gt;=_TM1,B505&lt;=_TM2,OR(TH!L505="1111",TH!M505="1111")),TH!D505,""),"")</f>
        <v/>
      </c>
      <c r="B505" s="12">
        <f t="shared" si="17"/>
        <v>11</v>
      </c>
      <c r="C505" s="105">
        <f t="shared" si="18"/>
        <v>42678</v>
      </c>
      <c r="D505" s="105" t="s">
        <v>468</v>
      </c>
      <c r="E505" s="110">
        <v>42678</v>
      </c>
      <c r="F505" s="111" t="s">
        <v>478</v>
      </c>
      <c r="G505" s="111" t="s">
        <v>472</v>
      </c>
      <c r="H505" s="125"/>
      <c r="I505" s="133"/>
      <c r="J505" s="133"/>
      <c r="K505" s="13">
        <v>20000</v>
      </c>
      <c r="L505" s="113" t="s">
        <v>82</v>
      </c>
      <c r="M505" s="402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>x</v>
      </c>
      <c r="Y505" s="22" t="str">
        <f>IF(AND(B505&lt;=NKC!$N$8,B505&gt;=NKC!$M$8),"x","")</f>
        <v/>
      </c>
      <c r="Z505" s="563">
        <v>4</v>
      </c>
    </row>
    <row r="506" spans="1:26" ht="15.75" customHeight="1">
      <c r="A506" s="120" t="str">
        <f>IF(B506&lt;&gt;"",IF(AND(B506&gt;=_TM1,B506&lt;=_TM2,OR(TH!L506="1111",TH!M506="1111")),TH!D506,""),"")</f>
        <v/>
      </c>
      <c r="B506" s="12">
        <f t="shared" si="17"/>
        <v>11</v>
      </c>
      <c r="C506" s="105">
        <f t="shared" si="18"/>
        <v>42678</v>
      </c>
      <c r="D506" s="105" t="s">
        <v>468</v>
      </c>
      <c r="E506" s="110">
        <v>42678</v>
      </c>
      <c r="F506" s="111" t="s">
        <v>479</v>
      </c>
      <c r="G506" s="111" t="s">
        <v>472</v>
      </c>
      <c r="H506" s="125"/>
      <c r="I506" s="133"/>
      <c r="J506" s="133"/>
      <c r="K506" s="13">
        <v>2000</v>
      </c>
      <c r="L506" s="113" t="s">
        <v>9</v>
      </c>
      <c r="M506" s="402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/>
      </c>
      <c r="Z506" s="563">
        <v>4</v>
      </c>
    </row>
    <row r="507" spans="1:26" ht="15.75" customHeight="1">
      <c r="A507" s="120" t="str">
        <f>IF(B507&lt;&gt;"",IF(AND(B507&gt;=_TM1,B507&lt;=_TM2,OR(TH!L507="1111",TH!M507="1111")),TH!D507,""),"")</f>
        <v>T08</v>
      </c>
      <c r="B507" s="12">
        <f t="shared" si="17"/>
        <v>11</v>
      </c>
      <c r="C507" s="105">
        <f t="shared" si="18"/>
        <v>42678</v>
      </c>
      <c r="D507" s="105" t="s">
        <v>990</v>
      </c>
      <c r="E507" s="110">
        <v>42678</v>
      </c>
      <c r="F507" s="111" t="s">
        <v>483</v>
      </c>
      <c r="G507" s="111" t="s">
        <v>472</v>
      </c>
      <c r="H507" s="112" t="s">
        <v>486</v>
      </c>
      <c r="I507" s="133"/>
      <c r="J507" s="133"/>
      <c r="K507" s="13">
        <v>59000000</v>
      </c>
      <c r="L507" s="113" t="s">
        <v>46</v>
      </c>
      <c r="M507" s="402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>x</v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/>
      </c>
      <c r="Z507" s="563"/>
    </row>
    <row r="508" spans="1:26" ht="15.75" customHeight="1">
      <c r="A508" s="120" t="str">
        <f>IF(B508&lt;&gt;"",IF(AND(B508&gt;=_TM1,B508&lt;=_TM2,OR(TH!L508="1111",TH!M508="1111")),TH!D508,""),"")</f>
        <v>C13</v>
      </c>
      <c r="B508" s="12">
        <f t="shared" si="17"/>
        <v>11</v>
      </c>
      <c r="C508" s="105">
        <f t="shared" si="18"/>
        <v>42679</v>
      </c>
      <c r="D508" s="110" t="s">
        <v>639</v>
      </c>
      <c r="E508" s="110">
        <v>42679</v>
      </c>
      <c r="F508" s="109" t="s">
        <v>784</v>
      </c>
      <c r="G508" s="298" t="s">
        <v>864</v>
      </c>
      <c r="H508" s="4" t="s">
        <v>782</v>
      </c>
      <c r="I508" s="135"/>
      <c r="J508" s="135"/>
      <c r="K508" s="13">
        <v>3910000</v>
      </c>
      <c r="L508" s="113" t="s">
        <v>82</v>
      </c>
      <c r="M508" s="402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>x</v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>x</v>
      </c>
      <c r="Y508" s="22" t="str">
        <f>IF(AND(B508&lt;=NKC!$N$8,B508&gt;=NKC!$M$8),"x","")</f>
        <v/>
      </c>
      <c r="Z508" s="563">
        <v>4</v>
      </c>
    </row>
    <row r="509" spans="1:26" ht="15.75" customHeight="1">
      <c r="A509" s="120" t="str">
        <f>IF(B509&lt;&gt;"",IF(AND(B509&gt;=_TM1,B509&lt;=_TM2,OR(TH!L509="1111",TH!M509="1111")),TH!D509,""),"")</f>
        <v>C13</v>
      </c>
      <c r="B509" s="12">
        <f t="shared" si="17"/>
        <v>11</v>
      </c>
      <c r="C509" s="105">
        <f t="shared" si="18"/>
        <v>42679</v>
      </c>
      <c r="D509" s="110" t="s">
        <v>639</v>
      </c>
      <c r="E509" s="110">
        <v>42679</v>
      </c>
      <c r="F509" s="109" t="s">
        <v>785</v>
      </c>
      <c r="G509" s="298" t="s">
        <v>864</v>
      </c>
      <c r="H509" s="4" t="s">
        <v>782</v>
      </c>
      <c r="I509" s="135"/>
      <c r="J509" s="135"/>
      <c r="K509" s="13">
        <v>391000</v>
      </c>
      <c r="L509" s="113" t="s">
        <v>9</v>
      </c>
      <c r="M509" s="402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>x</v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/>
      </c>
      <c r="Z509" s="563">
        <v>4</v>
      </c>
    </row>
    <row r="510" spans="1:26" ht="15.75" customHeight="1">
      <c r="A510" s="120" t="str">
        <f>IF(B510&lt;&gt;"",IF(AND(B510&gt;=_TM1,B510&lt;=_TM2,OR(TH!L510="1111",TH!M510="1111")),TH!D510,""),"")</f>
        <v/>
      </c>
      <c r="B510" s="12">
        <f t="shared" si="17"/>
        <v>11</v>
      </c>
      <c r="C510" s="105">
        <f t="shared" si="18"/>
        <v>42682</v>
      </c>
      <c r="D510" s="105" t="s">
        <v>560</v>
      </c>
      <c r="E510" s="110">
        <v>42682</v>
      </c>
      <c r="F510" s="109" t="s">
        <v>500</v>
      </c>
      <c r="G510" s="296" t="s">
        <v>764</v>
      </c>
      <c r="H510" s="4" t="s">
        <v>365</v>
      </c>
      <c r="I510" s="133">
        <v>300</v>
      </c>
      <c r="J510" s="133">
        <v>13800</v>
      </c>
      <c r="K510" s="13">
        <f>ROUND(I510*J510,0)</f>
        <v>4140000</v>
      </c>
      <c r="L510" s="113" t="s">
        <v>251</v>
      </c>
      <c r="M510" s="402" t="s">
        <v>168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/>
      </c>
      <c r="Z510" s="563"/>
    </row>
    <row r="511" spans="1:26" ht="15.75" customHeight="1">
      <c r="A511" s="120" t="str">
        <f>IF(B511&lt;&gt;"",IF(AND(B511&gt;=_TM1,B511&lt;=_TM2,OR(TH!L511="1111",TH!M511="1111")),TH!D511,""),"")</f>
        <v/>
      </c>
      <c r="B511" s="12">
        <f t="shared" si="17"/>
        <v>11</v>
      </c>
      <c r="C511" s="105">
        <f t="shared" si="18"/>
        <v>42682</v>
      </c>
      <c r="D511" s="105" t="s">
        <v>560</v>
      </c>
      <c r="E511" s="110">
        <v>42682</v>
      </c>
      <c r="F511" s="109" t="s">
        <v>500</v>
      </c>
      <c r="G511" s="296" t="s">
        <v>764</v>
      </c>
      <c r="H511" s="4" t="s">
        <v>365</v>
      </c>
      <c r="I511" s="133">
        <v>2000</v>
      </c>
      <c r="J511" s="133">
        <v>13800</v>
      </c>
      <c r="K511" s="13">
        <f>ROUND(I511*J511,0)</f>
        <v>27600000</v>
      </c>
      <c r="L511" s="113" t="s">
        <v>251</v>
      </c>
      <c r="M511" s="402" t="s">
        <v>168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/>
      </c>
      <c r="Z511" s="563"/>
    </row>
    <row r="512" spans="1:26" ht="15.75" customHeight="1">
      <c r="A512" s="120" t="str">
        <f>IF(B512&lt;&gt;"",IF(AND(B512&gt;=_TM1,B512&lt;=_TM2,OR(TH!L512="1111",TH!M512="1111")),TH!D512,""),"")</f>
        <v/>
      </c>
      <c r="B512" s="12">
        <f t="shared" si="17"/>
        <v>11</v>
      </c>
      <c r="C512" s="105">
        <f t="shared" si="18"/>
        <v>42682</v>
      </c>
      <c r="D512" s="105" t="s">
        <v>560</v>
      </c>
      <c r="E512" s="110">
        <v>42682</v>
      </c>
      <c r="F512" s="109" t="s">
        <v>679</v>
      </c>
      <c r="G512" s="296" t="s">
        <v>764</v>
      </c>
      <c r="H512" s="4" t="s">
        <v>365</v>
      </c>
      <c r="I512" s="133">
        <v>4600</v>
      </c>
      <c r="J512" s="133">
        <v>1300</v>
      </c>
      <c r="K512" s="13">
        <f>ROUND(I512*J512,0)</f>
        <v>5980000</v>
      </c>
      <c r="L512" s="113" t="s">
        <v>251</v>
      </c>
      <c r="M512" s="402" t="s">
        <v>168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/>
      </c>
      <c r="Z512" s="563"/>
    </row>
    <row r="513" spans="1:26" ht="15.75" customHeight="1">
      <c r="A513" s="120" t="str">
        <f>IF(B513&lt;&gt;"",IF(AND(B513&gt;=_TM1,B513&lt;=_TM2,OR(TH!L513="1111",TH!M513="1111")),TH!D513,""),"")</f>
        <v/>
      </c>
      <c r="B513" s="12">
        <f t="shared" si="17"/>
        <v>11</v>
      </c>
      <c r="C513" s="105">
        <f t="shared" si="18"/>
        <v>42682</v>
      </c>
      <c r="D513" s="105" t="s">
        <v>560</v>
      </c>
      <c r="E513" s="110">
        <v>42682</v>
      </c>
      <c r="F513" s="109" t="s">
        <v>494</v>
      </c>
      <c r="G513" s="296" t="s">
        <v>764</v>
      </c>
      <c r="H513" s="4" t="s">
        <v>365</v>
      </c>
      <c r="I513" s="135"/>
      <c r="J513" s="133"/>
      <c r="K513" s="13">
        <v>3772000</v>
      </c>
      <c r="L513" s="113" t="s">
        <v>251</v>
      </c>
      <c r="M513" s="402" t="s">
        <v>350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/>
      </c>
      <c r="Z513" s="563"/>
    </row>
    <row r="514" spans="1:26" ht="15.75" customHeight="1">
      <c r="A514" s="120" t="str">
        <f>IF(B514&lt;&gt;"",IF(AND(B514&gt;=_TM1,B514&lt;=_TM2,OR(TH!L514="1111",TH!M514="1111")),TH!D514,""),"")</f>
        <v/>
      </c>
      <c r="B514" s="12">
        <f t="shared" si="17"/>
        <v>11</v>
      </c>
      <c r="C514" s="105">
        <f t="shared" si="18"/>
        <v>42682</v>
      </c>
      <c r="D514" s="105" t="s">
        <v>561</v>
      </c>
      <c r="E514" s="110">
        <v>42682</v>
      </c>
      <c r="F514" s="109" t="s">
        <v>680</v>
      </c>
      <c r="G514" s="296" t="s">
        <v>765</v>
      </c>
      <c r="H514" s="112" t="s">
        <v>681</v>
      </c>
      <c r="I514" s="133">
        <v>6030</v>
      </c>
      <c r="J514" s="133">
        <v>13800</v>
      </c>
      <c r="K514" s="13">
        <f>ROUND(I514*J514,0)</f>
        <v>83214000</v>
      </c>
      <c r="L514" s="113" t="s">
        <v>251</v>
      </c>
      <c r="M514" s="402" t="s">
        <v>168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/>
      </c>
      <c r="Z514" s="563"/>
    </row>
    <row r="515" spans="1:26" ht="15.75" customHeight="1">
      <c r="A515" s="120" t="str">
        <f>IF(B515&lt;&gt;"",IF(AND(B515&gt;=_TM1,B515&lt;=_TM2,OR(TH!L515="1111",TH!M515="1111")),TH!D515,""),"")</f>
        <v/>
      </c>
      <c r="B515" s="12">
        <f t="shared" si="17"/>
        <v>11</v>
      </c>
      <c r="C515" s="105">
        <f t="shared" si="18"/>
        <v>42682</v>
      </c>
      <c r="D515" s="105" t="s">
        <v>561</v>
      </c>
      <c r="E515" s="110">
        <v>42682</v>
      </c>
      <c r="F515" s="109" t="s">
        <v>494</v>
      </c>
      <c r="G515" s="296" t="s">
        <v>765</v>
      </c>
      <c r="H515" s="112" t="s">
        <v>681</v>
      </c>
      <c r="I515" s="133"/>
      <c r="J515" s="133"/>
      <c r="K515" s="13">
        <v>8321400</v>
      </c>
      <c r="L515" s="113" t="s">
        <v>251</v>
      </c>
      <c r="M515" s="402" t="s">
        <v>350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/>
      </c>
      <c r="Z515" s="563"/>
    </row>
    <row r="516" spans="1:26" ht="15.75" customHeight="1">
      <c r="A516" s="120" t="str">
        <f>IF(B516&lt;&gt;"",IF(AND(B516&gt;=_TM1,B516&lt;=_TM2,OR(TH!L516="1111",TH!M516="1111")),TH!D516,""),"")</f>
        <v>C14</v>
      </c>
      <c r="B516" s="12">
        <f t="shared" si="17"/>
        <v>11</v>
      </c>
      <c r="C516" s="105">
        <f t="shared" si="18"/>
        <v>42683</v>
      </c>
      <c r="D516" s="110" t="s">
        <v>640</v>
      </c>
      <c r="E516" s="110">
        <v>42683</v>
      </c>
      <c r="F516" s="109" t="s">
        <v>865</v>
      </c>
      <c r="G516" s="298" t="s">
        <v>868</v>
      </c>
      <c r="H516" s="4" t="s">
        <v>867</v>
      </c>
      <c r="I516" s="135"/>
      <c r="J516" s="135"/>
      <c r="K516" s="13">
        <v>3150000</v>
      </c>
      <c r="L516" s="113" t="s">
        <v>82</v>
      </c>
      <c r="M516" s="402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>x</v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>x</v>
      </c>
      <c r="Y516" s="22" t="str">
        <f>IF(AND(B516&lt;=NKC!$N$8,B516&gt;=NKC!$M$8),"x","")</f>
        <v/>
      </c>
      <c r="Z516" s="563">
        <v>4</v>
      </c>
    </row>
    <row r="517" spans="1:26" ht="15.75" customHeight="1">
      <c r="A517" s="120" t="str">
        <f>IF(B517&lt;&gt;"",IF(AND(B517&gt;=_TM1,B517&lt;=_TM2,OR(TH!L517="1111",TH!M517="1111")),TH!D517,""),"")</f>
        <v>C14</v>
      </c>
      <c r="B517" s="12">
        <f t="shared" si="17"/>
        <v>11</v>
      </c>
      <c r="C517" s="105">
        <f t="shared" si="18"/>
        <v>42683</v>
      </c>
      <c r="D517" s="110" t="s">
        <v>640</v>
      </c>
      <c r="E517" s="110">
        <v>42683</v>
      </c>
      <c r="F517" s="109" t="s">
        <v>866</v>
      </c>
      <c r="G517" s="298" t="s">
        <v>868</v>
      </c>
      <c r="H517" s="4" t="s">
        <v>867</v>
      </c>
      <c r="I517" s="135"/>
      <c r="J517" s="135"/>
      <c r="K517" s="13">
        <v>315000</v>
      </c>
      <c r="L517" s="113" t="s">
        <v>9</v>
      </c>
      <c r="M517" s="402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>x</v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/>
      </c>
      <c r="Z517" s="563">
        <v>4</v>
      </c>
    </row>
    <row r="518" spans="1:26" ht="15.75" customHeight="1">
      <c r="A518" s="120" t="str">
        <f>IF(B518&lt;&gt;"",IF(AND(B518&gt;=_TM1,B518&lt;=_TM2,OR(TH!L518="1111",TH!M518="1111")),TH!D518,""),"")</f>
        <v/>
      </c>
      <c r="B518" s="12">
        <f t="shared" si="17"/>
        <v>11</v>
      </c>
      <c r="C518" s="105">
        <f t="shared" si="18"/>
        <v>42683</v>
      </c>
      <c r="D518" s="105" t="s">
        <v>562</v>
      </c>
      <c r="E518" s="110">
        <v>42683</v>
      </c>
      <c r="F518" s="109" t="s">
        <v>690</v>
      </c>
      <c r="G518" s="296" t="s">
        <v>766</v>
      </c>
      <c r="H518" s="4" t="s">
        <v>621</v>
      </c>
      <c r="I518" s="133">
        <v>318</v>
      </c>
      <c r="J518" s="133">
        <v>5800</v>
      </c>
      <c r="K518" s="13">
        <f>ROUND(I518*J518,0)</f>
        <v>1844400</v>
      </c>
      <c r="L518" s="113" t="s">
        <v>251</v>
      </c>
      <c r="M518" s="402" t="s">
        <v>168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/>
      </c>
      <c r="Z518" s="563"/>
    </row>
    <row r="519" spans="1:26" ht="15.75" customHeight="1">
      <c r="A519" s="120" t="str">
        <f>IF(B519&lt;&gt;"",IF(AND(B519&gt;=_TM1,B519&lt;=_TM2,OR(TH!L519="1111",TH!M519="1111")),TH!D519,""),"")</f>
        <v/>
      </c>
      <c r="B519" s="12">
        <f t="shared" si="17"/>
        <v>11</v>
      </c>
      <c r="C519" s="105">
        <f t="shared" si="18"/>
        <v>42683</v>
      </c>
      <c r="D519" s="105" t="s">
        <v>562</v>
      </c>
      <c r="E519" s="110">
        <v>42683</v>
      </c>
      <c r="F519" s="109" t="s">
        <v>538</v>
      </c>
      <c r="G519" s="296" t="s">
        <v>766</v>
      </c>
      <c r="H519" s="4" t="s">
        <v>621</v>
      </c>
      <c r="I519" s="133">
        <v>520</v>
      </c>
      <c r="J519" s="133">
        <v>6400</v>
      </c>
      <c r="K519" s="13">
        <f>ROUND(I519*J519,0)</f>
        <v>3328000</v>
      </c>
      <c r="L519" s="113" t="s">
        <v>251</v>
      </c>
      <c r="M519" s="402" t="s">
        <v>168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/>
      </c>
      <c r="Z519" s="563"/>
    </row>
    <row r="520" spans="1:26" ht="15.75" customHeight="1">
      <c r="A520" s="120" t="str">
        <f>IF(B520&lt;&gt;"",IF(AND(B520&gt;=_TM1,B520&lt;=_TM2,OR(TH!L520="1111",TH!M520="1111")),TH!D520,""),"")</f>
        <v/>
      </c>
      <c r="B520" s="12">
        <f t="shared" si="17"/>
        <v>11</v>
      </c>
      <c r="C520" s="105">
        <f t="shared" si="18"/>
        <v>42683</v>
      </c>
      <c r="D520" s="105" t="s">
        <v>562</v>
      </c>
      <c r="E520" s="110">
        <v>42683</v>
      </c>
      <c r="F520" s="109" t="s">
        <v>494</v>
      </c>
      <c r="G520" s="296" t="s">
        <v>766</v>
      </c>
      <c r="H520" s="4" t="s">
        <v>621</v>
      </c>
      <c r="I520" s="134"/>
      <c r="J520" s="134"/>
      <c r="K520" s="13">
        <v>517240</v>
      </c>
      <c r="L520" s="113" t="s">
        <v>251</v>
      </c>
      <c r="M520" s="402" t="s">
        <v>350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/>
      </c>
      <c r="Z520" s="563"/>
    </row>
    <row r="521" spans="1:26" ht="15.75" customHeight="1">
      <c r="A521" s="120" t="str">
        <f>IF(B521&lt;&gt;"",IF(AND(B521&gt;=_TM1,B521&lt;=_TM2,OR(TH!L521="1111",TH!M521="1111")),TH!D521,""),"")</f>
        <v/>
      </c>
      <c r="B521" s="12">
        <f t="shared" si="17"/>
        <v>11</v>
      </c>
      <c r="C521" s="105">
        <f t="shared" si="18"/>
        <v>42683</v>
      </c>
      <c r="D521" s="105" t="s">
        <v>563</v>
      </c>
      <c r="E521" s="110">
        <v>42683</v>
      </c>
      <c r="F521" s="109" t="s">
        <v>811</v>
      </c>
      <c r="G521" s="296" t="s">
        <v>809</v>
      </c>
      <c r="H521" s="4" t="s">
        <v>812</v>
      </c>
      <c r="I521" s="133">
        <v>4000</v>
      </c>
      <c r="J521" s="133">
        <v>4500</v>
      </c>
      <c r="K521" s="13">
        <f>ROUND(I521*J521,0)</f>
        <v>18000000</v>
      </c>
      <c r="L521" s="113" t="s">
        <v>251</v>
      </c>
      <c r="M521" s="402" t="s">
        <v>168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/>
      </c>
      <c r="Z521" s="563"/>
    </row>
    <row r="522" spans="1:26" ht="15.75" customHeight="1">
      <c r="A522" s="120" t="str">
        <f>IF(B522&lt;&gt;"",IF(AND(B522&gt;=_TM1,B522&lt;=_TM2,OR(TH!L522="1111",TH!M522="1111")),TH!D522,""),"")</f>
        <v/>
      </c>
      <c r="B522" s="12">
        <f t="shared" si="17"/>
        <v>11</v>
      </c>
      <c r="C522" s="105">
        <f t="shared" si="18"/>
        <v>42683</v>
      </c>
      <c r="D522" s="105" t="s">
        <v>563</v>
      </c>
      <c r="E522" s="110">
        <v>42683</v>
      </c>
      <c r="F522" s="109" t="s">
        <v>494</v>
      </c>
      <c r="G522" s="296" t="s">
        <v>809</v>
      </c>
      <c r="H522" s="4" t="s">
        <v>812</v>
      </c>
      <c r="I522" s="134"/>
      <c r="J522" s="134"/>
      <c r="K522" s="13">
        <v>1800000</v>
      </c>
      <c r="L522" s="113" t="s">
        <v>251</v>
      </c>
      <c r="M522" s="402" t="s">
        <v>350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/>
      </c>
      <c r="Z522" s="563"/>
    </row>
    <row r="523" spans="1:26" ht="15.75" customHeight="1">
      <c r="A523" s="120" t="str">
        <f>IF(B523&lt;&gt;"",IF(AND(B523&gt;=_TM1,B523&lt;=_TM2,OR(TH!L523="1111",TH!M523="1111")),TH!D523,""),"")</f>
        <v>T09</v>
      </c>
      <c r="B523" s="12">
        <f t="shared" si="17"/>
        <v>11</v>
      </c>
      <c r="C523" s="105">
        <f t="shared" si="18"/>
        <v>42683</v>
      </c>
      <c r="D523" s="105" t="s">
        <v>991</v>
      </c>
      <c r="E523" s="110">
        <v>42683</v>
      </c>
      <c r="F523" s="111" t="s">
        <v>482</v>
      </c>
      <c r="G523" s="296" t="s">
        <v>809</v>
      </c>
      <c r="H523" s="4" t="s">
        <v>812</v>
      </c>
      <c r="I523" s="134"/>
      <c r="J523" s="134"/>
      <c r="K523" s="13">
        <v>19800000</v>
      </c>
      <c r="L523" s="113" t="s">
        <v>46</v>
      </c>
      <c r="M523" s="402" t="s">
        <v>251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>x</v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/>
      </c>
      <c r="Z523" s="563"/>
    </row>
    <row r="524" spans="1:26" ht="15.75" customHeight="1">
      <c r="A524" s="120" t="str">
        <f>IF(B524&lt;&gt;"",IF(AND(B524&gt;=_TM1,B524&lt;=_TM2,OR(TH!L524="1111",TH!M524="1111")),TH!D524,""),"")</f>
        <v/>
      </c>
      <c r="B524" s="12">
        <f t="shared" si="17"/>
        <v>11</v>
      </c>
      <c r="C524" s="105">
        <f t="shared" si="18"/>
        <v>42683</v>
      </c>
      <c r="D524" s="110" t="s">
        <v>1077</v>
      </c>
      <c r="E524" s="110">
        <v>42683</v>
      </c>
      <c r="F524" s="109" t="s">
        <v>781</v>
      </c>
      <c r="G524" s="298" t="s">
        <v>702</v>
      </c>
      <c r="H524" s="112" t="s">
        <v>1075</v>
      </c>
      <c r="I524" s="133">
        <v>10552</v>
      </c>
      <c r="J524" s="133">
        <v>7800</v>
      </c>
      <c r="K524" s="13">
        <f>ROUND(I524*J524,0)</f>
        <v>82305600</v>
      </c>
      <c r="L524" s="113" t="s">
        <v>153</v>
      </c>
      <c r="M524" s="113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/>
      </c>
      <c r="Z524" s="563">
        <v>4</v>
      </c>
    </row>
    <row r="525" spans="1:26" ht="15.75" customHeight="1">
      <c r="A525" s="120" t="str">
        <f>IF(B525&lt;&gt;"",IF(AND(B525&gt;=_TM1,B525&lt;=_TM2,OR(TH!L525="1111",TH!M525="1111")),TH!D525,""),"")</f>
        <v/>
      </c>
      <c r="B525" s="12">
        <f t="shared" si="17"/>
        <v>11</v>
      </c>
      <c r="C525" s="105">
        <f t="shared" si="18"/>
        <v>42683</v>
      </c>
      <c r="D525" s="110" t="s">
        <v>1077</v>
      </c>
      <c r="E525" s="110">
        <v>42683</v>
      </c>
      <c r="F525" s="109" t="s">
        <v>374</v>
      </c>
      <c r="G525" s="298" t="s">
        <v>702</v>
      </c>
      <c r="H525" s="112" t="s">
        <v>1075</v>
      </c>
      <c r="I525" s="133"/>
      <c r="J525" s="133"/>
      <c r="K525" s="13">
        <v>8230560</v>
      </c>
      <c r="L525" s="113" t="s">
        <v>9</v>
      </c>
      <c r="M525" s="113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/>
      </c>
      <c r="Z525" s="563">
        <v>4</v>
      </c>
    </row>
    <row r="526" spans="1:26" ht="15.75" customHeight="1">
      <c r="A526" s="120" t="str">
        <f>IF(B526&lt;&gt;"",IF(AND(B526&gt;=_TM1,B526&lt;=_TM2,OR(TH!L526="1111",TH!M526="1111")),TH!D526,""),"")</f>
        <v/>
      </c>
      <c r="B526" s="12">
        <f t="shared" si="17"/>
        <v>11</v>
      </c>
      <c r="C526" s="105">
        <f t="shared" si="18"/>
        <v>42683</v>
      </c>
      <c r="D526" s="110" t="s">
        <v>1078</v>
      </c>
      <c r="E526" s="110">
        <v>42683</v>
      </c>
      <c r="F526" s="109" t="s">
        <v>781</v>
      </c>
      <c r="G526" s="298" t="s">
        <v>1076</v>
      </c>
      <c r="H526" s="112" t="s">
        <v>1075</v>
      </c>
      <c r="I526" s="133">
        <v>5676</v>
      </c>
      <c r="J526" s="133">
        <v>7800</v>
      </c>
      <c r="K526" s="13">
        <f>ROUND(I526*J526,0)</f>
        <v>44272800</v>
      </c>
      <c r="L526" s="113" t="s">
        <v>153</v>
      </c>
      <c r="M526" s="113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/>
      </c>
      <c r="Z526" s="563">
        <v>4</v>
      </c>
    </row>
    <row r="527" spans="1:26" ht="15.75" customHeight="1">
      <c r="A527" s="120" t="str">
        <f>IF(B527&lt;&gt;"",IF(AND(B527&gt;=_TM1,B527&lt;=_TM2,OR(TH!L527="1111",TH!M527="1111")),TH!D527,""),"")</f>
        <v/>
      </c>
      <c r="B527" s="12">
        <f t="shared" si="17"/>
        <v>11</v>
      </c>
      <c r="C527" s="105">
        <f t="shared" si="18"/>
        <v>42683</v>
      </c>
      <c r="D527" s="110" t="s">
        <v>1078</v>
      </c>
      <c r="E527" s="110">
        <v>42683</v>
      </c>
      <c r="F527" s="109" t="s">
        <v>374</v>
      </c>
      <c r="G527" s="298" t="s">
        <v>1076</v>
      </c>
      <c r="H527" s="112" t="s">
        <v>1075</v>
      </c>
      <c r="I527" s="133"/>
      <c r="J527" s="133"/>
      <c r="K527" s="13">
        <v>4427280</v>
      </c>
      <c r="L527" s="113" t="s">
        <v>9</v>
      </c>
      <c r="M527" s="113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/>
      </c>
      <c r="Z527" s="563">
        <v>4</v>
      </c>
    </row>
    <row r="528" spans="1:26" ht="15.75" customHeight="1">
      <c r="A528" s="120" t="str">
        <f>IF(B528&lt;&gt;"",IF(AND(B528&gt;=_TM1,B528&lt;=_TM2,OR(TH!L528="1111",TH!M528="1111")),TH!D528,""),"")</f>
        <v/>
      </c>
      <c r="B528" s="12">
        <f t="shared" si="17"/>
        <v>11</v>
      </c>
      <c r="C528" s="105">
        <f t="shared" si="18"/>
        <v>42684</v>
      </c>
      <c r="D528" s="110" t="s">
        <v>944</v>
      </c>
      <c r="E528" s="110">
        <v>42684</v>
      </c>
      <c r="F528" s="109" t="s">
        <v>862</v>
      </c>
      <c r="G528" s="298" t="s">
        <v>748</v>
      </c>
      <c r="H528" s="112" t="s">
        <v>861</v>
      </c>
      <c r="I528" s="133">
        <v>2000</v>
      </c>
      <c r="J528" s="133">
        <v>9000</v>
      </c>
      <c r="K528" s="13">
        <f>ROUND(I528*J528,0)</f>
        <v>18000000</v>
      </c>
      <c r="L528" s="113" t="s">
        <v>155</v>
      </c>
      <c r="M528" s="113" t="s">
        <v>8</v>
      </c>
      <c r="N528" s="22" t="str">
        <f>IF(AND('331-CT'!$E$7=TH!H528,OR(L528="331",M528="331")),"331",IF(AND(OR(L528="131",M528="131"),H528='131-CT'!$E$7),"131",""))</f>
        <v/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/>
      </c>
      <c r="Z528" s="563">
        <v>4</v>
      </c>
    </row>
    <row r="529" spans="1:26" ht="15.75" customHeight="1">
      <c r="A529" s="120" t="str">
        <f>IF(B529&lt;&gt;"",IF(AND(B529&gt;=_TM1,B529&lt;=_TM2,OR(TH!L529="1111",TH!M529="1111")),TH!D529,""),"")</f>
        <v/>
      </c>
      <c r="B529" s="12">
        <f t="shared" ref="B529:B592" si="20">IF(C529&lt;&gt;"",MONTH(C529),"")</f>
        <v>11</v>
      </c>
      <c r="C529" s="105">
        <f t="shared" si="18"/>
        <v>42684</v>
      </c>
      <c r="D529" s="110" t="s">
        <v>944</v>
      </c>
      <c r="E529" s="110">
        <v>42684</v>
      </c>
      <c r="F529" s="109" t="s">
        <v>869</v>
      </c>
      <c r="G529" s="298" t="s">
        <v>748</v>
      </c>
      <c r="H529" s="112" t="s">
        <v>861</v>
      </c>
      <c r="I529" s="133"/>
      <c r="J529" s="133"/>
      <c r="K529" s="13">
        <v>1800000</v>
      </c>
      <c r="L529" s="113" t="s">
        <v>9</v>
      </c>
      <c r="M529" s="113" t="s">
        <v>8</v>
      </c>
      <c r="N529" s="22" t="str">
        <f>IF(AND('331-CT'!$E$7=TH!H529,OR(L529="331",M529="331")),"331",IF(AND(OR(L529="131",M529="131"),H529='131-CT'!$E$7),"131",""))</f>
        <v/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/>
      </c>
      <c r="Z529" s="563">
        <v>4</v>
      </c>
    </row>
    <row r="530" spans="1:26" ht="15.75" customHeight="1">
      <c r="A530" s="120" t="str">
        <f>IF(B530&lt;&gt;"",IF(AND(B530&gt;=_TM1,B530&lt;=_TM2,OR(TH!L530="1111",TH!M530="1111")),TH!D530,""),"")</f>
        <v>C15</v>
      </c>
      <c r="B530" s="12">
        <f t="shared" si="20"/>
        <v>11</v>
      </c>
      <c r="C530" s="105">
        <f t="shared" si="18"/>
        <v>42684</v>
      </c>
      <c r="D530" s="110" t="s">
        <v>999</v>
      </c>
      <c r="E530" s="110">
        <v>42684</v>
      </c>
      <c r="F530" s="111" t="s">
        <v>463</v>
      </c>
      <c r="G530" s="298" t="s">
        <v>748</v>
      </c>
      <c r="H530" s="112" t="s">
        <v>861</v>
      </c>
      <c r="I530" s="133"/>
      <c r="J530" s="133"/>
      <c r="K530" s="13">
        <v>19800000</v>
      </c>
      <c r="L530" s="113" t="s">
        <v>8</v>
      </c>
      <c r="M530" s="402" t="s">
        <v>46</v>
      </c>
      <c r="N530" s="22" t="str">
        <f>IF(AND('331-CT'!$E$7=TH!H530,OR(L530="331",M530="331")),"331",IF(AND(OR(L530="131",M530="131"),H530='131-CT'!$E$7),"131",""))</f>
        <v/>
      </c>
      <c r="O530" s="22" t="str">
        <f>IF(AND($B530&gt;='111'!$N$11,$B530&lt;='111'!$O$11,OR($L530=$O$7,$M530=$O$7)),"x","")</f>
        <v>x</v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/>
      </c>
      <c r="Z530" s="563"/>
    </row>
    <row r="531" spans="1:26" ht="15.75" customHeight="1">
      <c r="A531" s="120" t="str">
        <f>IF(B531&lt;&gt;"",IF(AND(B531&gt;=_TM1,B531&lt;=_TM2,OR(TH!L531="1111",TH!M531="1111")),TH!D531,""),"")</f>
        <v/>
      </c>
      <c r="B531" s="12">
        <f t="shared" si="20"/>
        <v>11</v>
      </c>
      <c r="C531" s="105">
        <f t="shared" si="18"/>
        <v>42684</v>
      </c>
      <c r="D531" s="105" t="s">
        <v>467</v>
      </c>
      <c r="E531" s="110">
        <v>42684</v>
      </c>
      <c r="F531" s="109" t="s">
        <v>482</v>
      </c>
      <c r="G531" s="111" t="s">
        <v>472</v>
      </c>
      <c r="H531" s="4" t="s">
        <v>369</v>
      </c>
      <c r="I531" s="133"/>
      <c r="J531" s="135"/>
      <c r="K531" s="13">
        <v>29870500</v>
      </c>
      <c r="L531" s="113" t="s">
        <v>24</v>
      </c>
      <c r="M531" s="402" t="s">
        <v>251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/>
      </c>
      <c r="Z531" s="563"/>
    </row>
    <row r="532" spans="1:26" ht="15.75" customHeight="1">
      <c r="A532" s="120" t="str">
        <f>IF(B532&lt;&gt;"",IF(AND(B532&gt;=_TM1,B532&lt;=_TM2,OR(TH!L532="1111",TH!M532="1111")),TH!D532,""),"")</f>
        <v/>
      </c>
      <c r="B532" s="12">
        <f t="shared" si="20"/>
        <v>11</v>
      </c>
      <c r="C532" s="105">
        <f t="shared" si="18"/>
        <v>42684</v>
      </c>
      <c r="D532" s="105" t="s">
        <v>564</v>
      </c>
      <c r="E532" s="110">
        <v>42684</v>
      </c>
      <c r="F532" s="109" t="s">
        <v>811</v>
      </c>
      <c r="G532" s="296" t="s">
        <v>810</v>
      </c>
      <c r="H532" s="4" t="s">
        <v>812</v>
      </c>
      <c r="I532" s="133">
        <v>4000</v>
      </c>
      <c r="J532" s="133">
        <v>4500</v>
      </c>
      <c r="K532" s="13">
        <f>ROUND(I532*J532,0)</f>
        <v>18000000</v>
      </c>
      <c r="L532" s="113" t="s">
        <v>251</v>
      </c>
      <c r="M532" s="402" t="s">
        <v>168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/>
      </c>
      <c r="Z532" s="563"/>
    </row>
    <row r="533" spans="1:26" ht="15.75" customHeight="1">
      <c r="A533" s="120" t="str">
        <f>IF(B533&lt;&gt;"",IF(AND(B533&gt;=_TM1,B533&lt;=_TM2,OR(TH!L533="1111",TH!M533="1111")),TH!D533,""),"")</f>
        <v/>
      </c>
      <c r="B533" s="12">
        <f t="shared" si="20"/>
        <v>11</v>
      </c>
      <c r="C533" s="105">
        <f t="shared" ref="C533:C596" si="21">E533</f>
        <v>42684</v>
      </c>
      <c r="D533" s="105" t="s">
        <v>564</v>
      </c>
      <c r="E533" s="110">
        <v>42684</v>
      </c>
      <c r="F533" s="109" t="s">
        <v>494</v>
      </c>
      <c r="G533" s="296" t="s">
        <v>810</v>
      </c>
      <c r="H533" s="4" t="s">
        <v>812</v>
      </c>
      <c r="I533" s="134"/>
      <c r="J533" s="134"/>
      <c r="K533" s="13">
        <v>1800000</v>
      </c>
      <c r="L533" s="113" t="s">
        <v>251</v>
      </c>
      <c r="M533" s="402" t="s">
        <v>350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/>
      </c>
      <c r="Z533" s="563"/>
    </row>
    <row r="534" spans="1:26" ht="15.75" customHeight="1">
      <c r="A534" s="120" t="str">
        <f>IF(B534&lt;&gt;"",IF(AND(B534&gt;=_TM1,B534&lt;=_TM2,OR(TH!L534="1111",TH!M534="1111")),TH!D534,""),"")</f>
        <v>T10</v>
      </c>
      <c r="B534" s="12">
        <f t="shared" si="20"/>
        <v>11</v>
      </c>
      <c r="C534" s="105">
        <f t="shared" si="21"/>
        <v>42684</v>
      </c>
      <c r="D534" s="105" t="s">
        <v>992</v>
      </c>
      <c r="E534" s="110">
        <v>42684</v>
      </c>
      <c r="F534" s="111" t="s">
        <v>482</v>
      </c>
      <c r="G534" s="296" t="s">
        <v>810</v>
      </c>
      <c r="H534" s="4" t="s">
        <v>812</v>
      </c>
      <c r="I534" s="134"/>
      <c r="J534" s="134"/>
      <c r="K534" s="13">
        <v>19800000</v>
      </c>
      <c r="L534" s="113" t="s">
        <v>46</v>
      </c>
      <c r="M534" s="402" t="s">
        <v>251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>x</v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/>
      </c>
      <c r="Z534" s="563"/>
    </row>
    <row r="535" spans="1:26" ht="15.75" customHeight="1">
      <c r="A535" s="120" t="str">
        <f>IF(B535&lt;&gt;"",IF(AND(B535&gt;=_TM1,B535&lt;=_TM2,OR(TH!L535="1111",TH!M535="1111")),TH!D535,""),"")</f>
        <v/>
      </c>
      <c r="B535" s="12">
        <f t="shared" si="20"/>
        <v>11</v>
      </c>
      <c r="C535" s="105">
        <f t="shared" si="21"/>
        <v>42685</v>
      </c>
      <c r="D535" s="105" t="s">
        <v>468</v>
      </c>
      <c r="E535" s="110">
        <v>42685</v>
      </c>
      <c r="F535" s="111" t="s">
        <v>463</v>
      </c>
      <c r="G535" s="111" t="s">
        <v>472</v>
      </c>
      <c r="H535" s="547" t="s">
        <v>396</v>
      </c>
      <c r="I535" s="133"/>
      <c r="J535" s="133"/>
      <c r="K535" s="13">
        <v>12000000</v>
      </c>
      <c r="L535" s="113" t="s">
        <v>8</v>
      </c>
      <c r="M535" s="402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/>
      </c>
      <c r="Z535" s="563"/>
    </row>
    <row r="536" spans="1:26" ht="15.75" customHeight="1">
      <c r="A536" s="120" t="str">
        <f>IF(B536&lt;&gt;"",IF(AND(B536&gt;=_TM1,B536&lt;=_TM2,OR(TH!L536="1111",TH!M536="1111")),TH!D536,""),"")</f>
        <v/>
      </c>
      <c r="B536" s="12">
        <f t="shared" si="20"/>
        <v>11</v>
      </c>
      <c r="C536" s="105">
        <f t="shared" si="21"/>
        <v>42685</v>
      </c>
      <c r="D536" s="105" t="s">
        <v>468</v>
      </c>
      <c r="E536" s="110">
        <v>42685</v>
      </c>
      <c r="F536" s="111" t="s">
        <v>478</v>
      </c>
      <c r="G536" s="111" t="s">
        <v>472</v>
      </c>
      <c r="H536" s="125"/>
      <c r="I536" s="133"/>
      <c r="J536" s="133"/>
      <c r="K536" s="13">
        <v>20000</v>
      </c>
      <c r="L536" s="113" t="s">
        <v>82</v>
      </c>
      <c r="M536" s="402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>x</v>
      </c>
      <c r="Y536" s="22" t="str">
        <f>IF(AND(B536&lt;=NKC!$N$8,B536&gt;=NKC!$M$8),"x","")</f>
        <v/>
      </c>
      <c r="Z536" s="563">
        <v>4</v>
      </c>
    </row>
    <row r="537" spans="1:26" ht="15.75" customHeight="1">
      <c r="A537" s="120" t="str">
        <f>IF(B537&lt;&gt;"",IF(AND(B537&gt;=_TM1,B537&lt;=_TM2,OR(TH!L537="1111",TH!M537="1111")),TH!D537,""),"")</f>
        <v/>
      </c>
      <c r="B537" s="12">
        <f t="shared" si="20"/>
        <v>11</v>
      </c>
      <c r="C537" s="105">
        <f t="shared" si="21"/>
        <v>42685</v>
      </c>
      <c r="D537" s="105" t="s">
        <v>468</v>
      </c>
      <c r="E537" s="110">
        <v>42685</v>
      </c>
      <c r="F537" s="111" t="s">
        <v>479</v>
      </c>
      <c r="G537" s="111" t="s">
        <v>472</v>
      </c>
      <c r="H537" s="125"/>
      <c r="I537" s="133"/>
      <c r="J537" s="133"/>
      <c r="K537" s="13">
        <v>2000</v>
      </c>
      <c r="L537" s="113" t="s">
        <v>9</v>
      </c>
      <c r="M537" s="402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/>
      </c>
      <c r="Z537" s="563">
        <v>4</v>
      </c>
    </row>
    <row r="538" spans="1:26" ht="15.75" customHeight="1">
      <c r="A538" s="120" t="str">
        <f>IF(B538&lt;&gt;"",IF(AND(B538&gt;=_TM1,B538&lt;=_TM2,OR(TH!L538="1111",TH!M538="1111")),TH!D538,""),"")</f>
        <v>T11</v>
      </c>
      <c r="B538" s="12">
        <f t="shared" si="20"/>
        <v>11</v>
      </c>
      <c r="C538" s="105">
        <f t="shared" si="21"/>
        <v>42685</v>
      </c>
      <c r="D538" s="105" t="s">
        <v>993</v>
      </c>
      <c r="E538" s="110">
        <v>42685</v>
      </c>
      <c r="F538" s="111" t="s">
        <v>483</v>
      </c>
      <c r="G538" s="111" t="s">
        <v>472</v>
      </c>
      <c r="H538" s="112" t="s">
        <v>486</v>
      </c>
      <c r="I538" s="133"/>
      <c r="J538" s="133"/>
      <c r="K538" s="13">
        <v>18000000</v>
      </c>
      <c r="L538" s="113" t="s">
        <v>46</v>
      </c>
      <c r="M538" s="402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>x</v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/>
      </c>
      <c r="Z538" s="563"/>
    </row>
    <row r="539" spans="1:26" ht="15.75" customHeight="1">
      <c r="A539" s="120" t="str">
        <f>IF(B539&lt;&gt;"",IF(AND(B539&gt;=_TM1,B539&lt;=_TM2,OR(TH!L539="1111",TH!M539="1111")),TH!D539,""),"")</f>
        <v>C16</v>
      </c>
      <c r="B539" s="12">
        <f t="shared" si="20"/>
        <v>11</v>
      </c>
      <c r="C539" s="105">
        <f t="shared" si="21"/>
        <v>42686</v>
      </c>
      <c r="D539" s="110" t="s">
        <v>1000</v>
      </c>
      <c r="E539" s="110">
        <v>42686</v>
      </c>
      <c r="F539" s="109" t="s">
        <v>353</v>
      </c>
      <c r="G539" s="298" t="s">
        <v>870</v>
      </c>
      <c r="H539" s="112" t="s">
        <v>425</v>
      </c>
      <c r="I539" s="133"/>
      <c r="J539" s="133"/>
      <c r="K539" s="13">
        <v>5800000</v>
      </c>
      <c r="L539" s="113" t="s">
        <v>159</v>
      </c>
      <c r="M539" s="402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>x</v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/>
      </c>
      <c r="Z539" s="563">
        <v>4</v>
      </c>
    </row>
    <row r="540" spans="1:26" ht="15.75" customHeight="1">
      <c r="A540" s="120" t="str">
        <f>IF(B540&lt;&gt;"",IF(AND(B540&gt;=_TM1,B540&lt;=_TM2,OR(TH!L540="1111",TH!M540="1111")),TH!D540,""),"")</f>
        <v>C16</v>
      </c>
      <c r="B540" s="12">
        <f t="shared" si="20"/>
        <v>11</v>
      </c>
      <c r="C540" s="105">
        <f t="shared" si="21"/>
        <v>42686</v>
      </c>
      <c r="D540" s="110" t="s">
        <v>1000</v>
      </c>
      <c r="E540" s="110">
        <v>42686</v>
      </c>
      <c r="F540" s="109" t="s">
        <v>423</v>
      </c>
      <c r="G540" s="298" t="s">
        <v>870</v>
      </c>
      <c r="H540" s="112" t="s">
        <v>425</v>
      </c>
      <c r="I540" s="133"/>
      <c r="J540" s="133"/>
      <c r="K540" s="13">
        <v>580000</v>
      </c>
      <c r="L540" s="113" t="s">
        <v>9</v>
      </c>
      <c r="M540" s="402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>x</v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/>
      </c>
      <c r="Z540" s="563">
        <v>4</v>
      </c>
    </row>
    <row r="541" spans="1:26" ht="15.75" customHeight="1">
      <c r="A541" s="120" t="str">
        <f>IF(B541&lt;&gt;"",IF(AND(B541&gt;=_TM1,B541&lt;=_TM2,OR(TH!L541="1111",TH!M541="1111")),TH!D541,""),"")</f>
        <v/>
      </c>
      <c r="B541" s="12">
        <f t="shared" si="20"/>
        <v>11</v>
      </c>
      <c r="C541" s="105">
        <f t="shared" si="21"/>
        <v>42688</v>
      </c>
      <c r="D541" s="110" t="s">
        <v>945</v>
      </c>
      <c r="E541" s="110">
        <v>42688</v>
      </c>
      <c r="F541" s="109" t="s">
        <v>775</v>
      </c>
      <c r="G541" s="298" t="s">
        <v>705</v>
      </c>
      <c r="H541" s="112" t="s">
        <v>778</v>
      </c>
      <c r="I541" s="133">
        <v>18190</v>
      </c>
      <c r="J541" s="133">
        <v>800</v>
      </c>
      <c r="K541" s="13">
        <f>ROUND(I541*J541,0)</f>
        <v>14552000</v>
      </c>
      <c r="L541" s="113" t="s">
        <v>155</v>
      </c>
      <c r="M541" s="113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/>
      </c>
      <c r="Z541" s="563">
        <v>4</v>
      </c>
    </row>
    <row r="542" spans="1:26" ht="15.75" customHeight="1">
      <c r="A542" s="120" t="str">
        <f>IF(B542&lt;&gt;"",IF(AND(B542&gt;=_TM1,B542&lt;=_TM2,OR(TH!L542="1111",TH!M542="1111")),TH!D542,""),"")</f>
        <v/>
      </c>
      <c r="B542" s="12">
        <f t="shared" si="20"/>
        <v>11</v>
      </c>
      <c r="C542" s="105">
        <f t="shared" si="21"/>
        <v>42688</v>
      </c>
      <c r="D542" s="110" t="s">
        <v>945</v>
      </c>
      <c r="E542" s="110">
        <v>42688</v>
      </c>
      <c r="F542" s="109" t="s">
        <v>776</v>
      </c>
      <c r="G542" s="298" t="s">
        <v>705</v>
      </c>
      <c r="H542" s="112" t="s">
        <v>778</v>
      </c>
      <c r="I542" s="133"/>
      <c r="J542" s="133"/>
      <c r="K542" s="13">
        <v>1455200</v>
      </c>
      <c r="L542" s="113" t="s">
        <v>9</v>
      </c>
      <c r="M542" s="113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/>
      </c>
      <c r="Z542" s="563">
        <v>4</v>
      </c>
    </row>
    <row r="543" spans="1:26" ht="15.75" customHeight="1">
      <c r="A543" s="120" t="str">
        <f>IF(B543&lt;&gt;"",IF(AND(B543&gt;=_TM1,B543&lt;=_TM2,OR(TH!L543="1111",TH!M543="1111")),TH!D543,""),"")</f>
        <v>C17</v>
      </c>
      <c r="B543" s="12">
        <f t="shared" si="20"/>
        <v>11</v>
      </c>
      <c r="C543" s="105">
        <f t="shared" si="21"/>
        <v>42688</v>
      </c>
      <c r="D543" s="110" t="s">
        <v>1001</v>
      </c>
      <c r="E543" s="110">
        <v>42688</v>
      </c>
      <c r="F543" s="109" t="s">
        <v>463</v>
      </c>
      <c r="G543" s="298" t="s">
        <v>705</v>
      </c>
      <c r="H543" s="112" t="s">
        <v>778</v>
      </c>
      <c r="I543" s="133"/>
      <c r="J543" s="133"/>
      <c r="K543" s="13">
        <v>16007200</v>
      </c>
      <c r="L543" s="113" t="s">
        <v>8</v>
      </c>
      <c r="M543" s="402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>x</v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/>
      </c>
      <c r="Z543" s="563"/>
    </row>
    <row r="544" spans="1:26" ht="15.75" customHeight="1">
      <c r="A544" s="120" t="str">
        <f>IF(B544&lt;&gt;"",IF(AND(B544&gt;=_TM1,B544&lt;=_TM2,OR(TH!L544="1111",TH!M544="1111")),TH!D544,""),"")</f>
        <v>C18</v>
      </c>
      <c r="B544" s="12">
        <f t="shared" si="20"/>
        <v>11</v>
      </c>
      <c r="C544" s="105">
        <f t="shared" si="21"/>
        <v>42688</v>
      </c>
      <c r="D544" s="110" t="s">
        <v>1002</v>
      </c>
      <c r="E544" s="110">
        <v>42688</v>
      </c>
      <c r="F544" s="109" t="s">
        <v>469</v>
      </c>
      <c r="G544" s="111" t="s">
        <v>472</v>
      </c>
      <c r="H544" s="112" t="s">
        <v>486</v>
      </c>
      <c r="I544" s="133"/>
      <c r="J544" s="135"/>
      <c r="K544" s="13">
        <v>20000000</v>
      </c>
      <c r="L544" s="113" t="s">
        <v>24</v>
      </c>
      <c r="M544" s="402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>x</v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/>
      </c>
      <c r="Z544" s="563"/>
    </row>
    <row r="545" spans="1:26" ht="15.75" customHeight="1">
      <c r="A545" s="120" t="str">
        <f>IF(B545&lt;&gt;"",IF(AND(B545&gt;=_TM1,B545&lt;=_TM2,OR(TH!L545="1111",TH!M545="1111")),TH!D545,""),"")</f>
        <v/>
      </c>
      <c r="B545" s="12">
        <f t="shared" si="20"/>
        <v>11</v>
      </c>
      <c r="C545" s="105">
        <f t="shared" si="21"/>
        <v>42688</v>
      </c>
      <c r="D545" s="105" t="s">
        <v>468</v>
      </c>
      <c r="E545" s="110">
        <v>42688</v>
      </c>
      <c r="F545" s="111" t="s">
        <v>795</v>
      </c>
      <c r="G545" s="111" t="s">
        <v>472</v>
      </c>
      <c r="H545" s="125"/>
      <c r="I545" s="133"/>
      <c r="J545" s="133"/>
      <c r="K545" s="13">
        <v>20000</v>
      </c>
      <c r="L545" s="113" t="s">
        <v>82</v>
      </c>
      <c r="M545" s="402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>x</v>
      </c>
      <c r="Y545" s="22" t="str">
        <f>IF(AND(B545&lt;=NKC!$N$8,B545&gt;=NKC!$M$8),"x","")</f>
        <v/>
      </c>
      <c r="Z545" s="563">
        <v>4</v>
      </c>
    </row>
    <row r="546" spans="1:26" ht="15.75" customHeight="1">
      <c r="A546" s="120" t="str">
        <f>IF(B546&lt;&gt;"",IF(AND(B546&gt;=_TM1,B546&lt;=_TM2,OR(TH!L546="1111",TH!M546="1111")),TH!D546,""),"")</f>
        <v/>
      </c>
      <c r="B546" s="12">
        <f t="shared" si="20"/>
        <v>11</v>
      </c>
      <c r="C546" s="105">
        <f t="shared" si="21"/>
        <v>42688</v>
      </c>
      <c r="D546" s="105" t="s">
        <v>468</v>
      </c>
      <c r="E546" s="110">
        <v>42688</v>
      </c>
      <c r="F546" s="111" t="s">
        <v>796</v>
      </c>
      <c r="G546" s="111" t="s">
        <v>472</v>
      </c>
      <c r="H546" s="125"/>
      <c r="I546" s="133"/>
      <c r="J546" s="133"/>
      <c r="K546" s="13">
        <v>2000</v>
      </c>
      <c r="L546" s="113" t="s">
        <v>9</v>
      </c>
      <c r="M546" s="402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/>
      </c>
      <c r="Z546" s="563">
        <v>4</v>
      </c>
    </row>
    <row r="547" spans="1:26" ht="15.75" customHeight="1">
      <c r="A547" s="120" t="str">
        <f>IF(B547&lt;&gt;"",IF(AND(B547&gt;=_TM1,B547&lt;=_TM2,OR(TH!L547="1111",TH!M547="1111")),TH!D547,""),"")</f>
        <v/>
      </c>
      <c r="B547" s="12">
        <f t="shared" si="20"/>
        <v>11</v>
      </c>
      <c r="C547" s="105">
        <f t="shared" si="21"/>
        <v>42688</v>
      </c>
      <c r="D547" s="105" t="s">
        <v>468</v>
      </c>
      <c r="E547" s="110">
        <v>42688</v>
      </c>
      <c r="F547" s="111" t="s">
        <v>463</v>
      </c>
      <c r="G547" s="111" t="s">
        <v>472</v>
      </c>
      <c r="H547" s="547" t="s">
        <v>397</v>
      </c>
      <c r="I547" s="133"/>
      <c r="J547" s="133"/>
      <c r="K547" s="13">
        <v>20000000</v>
      </c>
      <c r="L547" s="113" t="s">
        <v>8</v>
      </c>
      <c r="M547" s="402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/>
      </c>
      <c r="Z547" s="563"/>
    </row>
    <row r="548" spans="1:26" ht="15.75" customHeight="1">
      <c r="A548" s="120" t="str">
        <f>IF(B548&lt;&gt;"",IF(AND(B548&gt;=_TM1,B548&lt;=_TM2,OR(TH!L548="1111",TH!M548="1111")),TH!D548,""),"")</f>
        <v/>
      </c>
      <c r="B548" s="12">
        <f t="shared" si="20"/>
        <v>11</v>
      </c>
      <c r="C548" s="105">
        <f t="shared" si="21"/>
        <v>42688</v>
      </c>
      <c r="D548" s="105" t="s">
        <v>468</v>
      </c>
      <c r="E548" s="110">
        <v>42688</v>
      </c>
      <c r="F548" s="111" t="s">
        <v>478</v>
      </c>
      <c r="G548" s="111" t="s">
        <v>472</v>
      </c>
      <c r="H548" s="125"/>
      <c r="I548" s="133"/>
      <c r="J548" s="133"/>
      <c r="K548" s="13">
        <v>10000</v>
      </c>
      <c r="L548" s="113" t="s">
        <v>82</v>
      </c>
      <c r="M548" s="402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>x</v>
      </c>
      <c r="Y548" s="22" t="str">
        <f>IF(AND(B548&lt;=NKC!$N$8,B548&gt;=NKC!$M$8),"x","")</f>
        <v/>
      </c>
      <c r="Z548" s="563">
        <v>4</v>
      </c>
    </row>
    <row r="549" spans="1:26" ht="15.75" customHeight="1">
      <c r="A549" s="120" t="str">
        <f>IF(B549&lt;&gt;"",IF(AND(B549&gt;=_TM1,B549&lt;=_TM2,OR(TH!L549="1111",TH!M549="1111")),TH!D549,""),"")</f>
        <v/>
      </c>
      <c r="B549" s="12">
        <f t="shared" si="20"/>
        <v>11</v>
      </c>
      <c r="C549" s="105">
        <f t="shared" si="21"/>
        <v>42688</v>
      </c>
      <c r="D549" s="105" t="s">
        <v>468</v>
      </c>
      <c r="E549" s="110">
        <v>42688</v>
      </c>
      <c r="F549" s="111" t="s">
        <v>479</v>
      </c>
      <c r="G549" s="111" t="s">
        <v>472</v>
      </c>
      <c r="H549" s="125"/>
      <c r="I549" s="133"/>
      <c r="J549" s="133"/>
      <c r="K549" s="13">
        <v>1000</v>
      </c>
      <c r="L549" s="113" t="s">
        <v>9</v>
      </c>
      <c r="M549" s="402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/>
      </c>
      <c r="Z549" s="563">
        <v>4</v>
      </c>
    </row>
    <row r="550" spans="1:26" ht="15.75" customHeight="1">
      <c r="A550" s="120" t="str">
        <f>IF(B550&lt;&gt;"",IF(AND(B550&gt;=_TM1,B550&lt;=_TM2,OR(TH!L550="1111",TH!M550="1111")),TH!D550,""),"")</f>
        <v/>
      </c>
      <c r="B550" s="12">
        <f t="shared" si="20"/>
        <v>11</v>
      </c>
      <c r="C550" s="105">
        <f t="shared" si="21"/>
        <v>42689</v>
      </c>
      <c r="D550" s="110" t="s">
        <v>323</v>
      </c>
      <c r="E550" s="110">
        <v>42689</v>
      </c>
      <c r="F550" s="109" t="s">
        <v>871</v>
      </c>
      <c r="G550" s="298" t="s">
        <v>834</v>
      </c>
      <c r="H550" s="112" t="s">
        <v>622</v>
      </c>
      <c r="I550" s="133"/>
      <c r="J550" s="133"/>
      <c r="K550" s="13">
        <v>37000000</v>
      </c>
      <c r="L550" s="113" t="s">
        <v>82</v>
      </c>
      <c r="M550" s="113" t="s">
        <v>8</v>
      </c>
      <c r="N550" s="22" t="str">
        <f>IF(AND('331-CT'!$E$7=TH!H550,OR(L550="331",M550="331")),"331",IF(AND(OR(L550="131",M550="131"),H550='131-CT'!$E$7),"131",""))</f>
        <v>331</v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>x</v>
      </c>
      <c r="Y550" s="22" t="str">
        <f>IF(AND(B550&lt;=NKC!$N$8,B550&gt;=NKC!$M$8),"x","")</f>
        <v/>
      </c>
      <c r="Z550" s="563">
        <v>4</v>
      </c>
    </row>
    <row r="551" spans="1:26" ht="15.75" customHeight="1">
      <c r="A551" s="120" t="str">
        <f>IF(B551&lt;&gt;"",IF(AND(B551&gt;=_TM1,B551&lt;=_TM2,OR(TH!L551="1111",TH!M551="1111")),TH!D551,""),"")</f>
        <v/>
      </c>
      <c r="B551" s="12">
        <f t="shared" si="20"/>
        <v>11</v>
      </c>
      <c r="C551" s="105">
        <f t="shared" si="21"/>
        <v>42689</v>
      </c>
      <c r="D551" s="110" t="s">
        <v>323</v>
      </c>
      <c r="E551" s="110">
        <v>42689</v>
      </c>
      <c r="F551" s="109" t="s">
        <v>433</v>
      </c>
      <c r="G551" s="298" t="s">
        <v>834</v>
      </c>
      <c r="H551" s="112" t="s">
        <v>622</v>
      </c>
      <c r="I551" s="133"/>
      <c r="J551" s="133"/>
      <c r="K551" s="13">
        <v>3700000</v>
      </c>
      <c r="L551" s="113" t="s">
        <v>9</v>
      </c>
      <c r="M551" s="113" t="s">
        <v>8</v>
      </c>
      <c r="N551" s="22" t="str">
        <f>IF(AND('331-CT'!$E$7=TH!H551,OR(L551="331",M551="331")),"331",IF(AND(OR(L551="131",M551="131"),H551='131-CT'!$E$7),"131",""))</f>
        <v>331</v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/>
      </c>
      <c r="Z551" s="563">
        <v>4</v>
      </c>
    </row>
    <row r="552" spans="1:26" ht="15.75" customHeight="1">
      <c r="A552" s="120" t="str">
        <f>IF(B552&lt;&gt;"",IF(AND(B552&gt;=_TM1,B552&lt;=_TM2,OR(TH!L552="1111",TH!M552="1111")),TH!D552,""),"")</f>
        <v/>
      </c>
      <c r="B552" s="12">
        <f t="shared" si="20"/>
        <v>11</v>
      </c>
      <c r="C552" s="105">
        <f t="shared" si="21"/>
        <v>42689</v>
      </c>
      <c r="D552" s="105" t="s">
        <v>467</v>
      </c>
      <c r="E552" s="110">
        <v>42689</v>
      </c>
      <c r="F552" s="109" t="s">
        <v>482</v>
      </c>
      <c r="G552" s="111" t="s">
        <v>472</v>
      </c>
      <c r="H552" s="4" t="s">
        <v>365</v>
      </c>
      <c r="I552" s="133"/>
      <c r="J552" s="135"/>
      <c r="K552" s="13">
        <v>41492000</v>
      </c>
      <c r="L552" s="113" t="s">
        <v>24</v>
      </c>
      <c r="M552" s="402" t="s">
        <v>251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/>
      </c>
      <c r="Z552" s="563"/>
    </row>
    <row r="553" spans="1:26" ht="15.75" customHeight="1">
      <c r="A553" s="120" t="str">
        <f>IF(B553&lt;&gt;"",IF(AND(B553&gt;=_TM1,B553&lt;=_TM2,OR(TH!L553="1111",TH!M553="1111")),TH!D553,""),"")</f>
        <v>T12</v>
      </c>
      <c r="B553" s="12">
        <f t="shared" si="20"/>
        <v>11</v>
      </c>
      <c r="C553" s="105">
        <f t="shared" si="21"/>
        <v>42689</v>
      </c>
      <c r="D553" s="105" t="s">
        <v>994</v>
      </c>
      <c r="E553" s="110">
        <v>42689</v>
      </c>
      <c r="F553" s="111" t="s">
        <v>483</v>
      </c>
      <c r="G553" s="111" t="s">
        <v>472</v>
      </c>
      <c r="H553" s="125" t="s">
        <v>473</v>
      </c>
      <c r="I553" s="133"/>
      <c r="J553" s="133"/>
      <c r="K553" s="13">
        <v>10000000</v>
      </c>
      <c r="L553" s="113" t="s">
        <v>46</v>
      </c>
      <c r="M553" s="402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>x</v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/>
      </c>
      <c r="Z553" s="563"/>
    </row>
    <row r="554" spans="1:26" ht="15.75" customHeight="1">
      <c r="A554" s="120" t="str">
        <f>IF(B554&lt;&gt;"",IF(AND(B554&gt;=_TM1,B554&lt;=_TM2,OR(TH!L554="1111",TH!M554="1111")),TH!D554,""),"")</f>
        <v/>
      </c>
      <c r="B554" s="12">
        <f t="shared" si="20"/>
        <v>11</v>
      </c>
      <c r="C554" s="105">
        <f t="shared" si="21"/>
        <v>42691</v>
      </c>
      <c r="D554" s="105" t="s">
        <v>467</v>
      </c>
      <c r="E554" s="110">
        <v>42691</v>
      </c>
      <c r="F554" s="109" t="s">
        <v>482</v>
      </c>
      <c r="G554" s="111" t="s">
        <v>472</v>
      </c>
      <c r="H554" s="112" t="s">
        <v>681</v>
      </c>
      <c r="I554" s="133"/>
      <c r="J554" s="135"/>
      <c r="K554" s="13">
        <v>63756000</v>
      </c>
      <c r="L554" s="113" t="s">
        <v>24</v>
      </c>
      <c r="M554" s="402" t="s">
        <v>251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/>
      </c>
      <c r="Z554" s="563"/>
    </row>
    <row r="555" spans="1:26" ht="15.75" customHeight="1">
      <c r="A555" s="120" t="str">
        <f>IF(B555&lt;&gt;"",IF(AND(B555&gt;=_TM1,B555&lt;=_TM2,OR(TH!L555="1111",TH!M555="1111")),TH!D555,""),"")</f>
        <v/>
      </c>
      <c r="B555" s="12">
        <f t="shared" si="20"/>
        <v>11</v>
      </c>
      <c r="C555" s="105">
        <f t="shared" si="21"/>
        <v>42692</v>
      </c>
      <c r="D555" s="105" t="s">
        <v>468</v>
      </c>
      <c r="E555" s="110">
        <v>42692</v>
      </c>
      <c r="F555" s="111" t="s">
        <v>477</v>
      </c>
      <c r="G555" s="111" t="s">
        <v>472</v>
      </c>
      <c r="H555" s="112" t="s">
        <v>622</v>
      </c>
      <c r="I555" s="133"/>
      <c r="J555" s="135"/>
      <c r="K555" s="13">
        <v>40700000</v>
      </c>
      <c r="L555" s="113" t="s">
        <v>8</v>
      </c>
      <c r="M555" s="402" t="s">
        <v>24</v>
      </c>
      <c r="N555" s="22" t="str">
        <f>IF(AND('331-CT'!$E$7=TH!H555,OR(L555="331",M555="331")),"331",IF(AND(OR(L555="131",M555="131"),H555='131-CT'!$E$7),"131",""))</f>
        <v>331</v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/>
      </c>
      <c r="Z555" s="563"/>
    </row>
    <row r="556" spans="1:26" ht="15.75" customHeight="1">
      <c r="A556" s="120" t="str">
        <f>IF(B556&lt;&gt;"",IF(AND(B556&gt;=_TM1,B556&lt;=_TM2,OR(TH!L556="1111",TH!M556="1111")),TH!D556,""),"")</f>
        <v/>
      </c>
      <c r="B556" s="12">
        <f t="shared" si="20"/>
        <v>11</v>
      </c>
      <c r="C556" s="105">
        <f t="shared" si="21"/>
        <v>42692</v>
      </c>
      <c r="D556" s="105" t="s">
        <v>468</v>
      </c>
      <c r="E556" s="110">
        <v>42692</v>
      </c>
      <c r="F556" s="111" t="s">
        <v>478</v>
      </c>
      <c r="G556" s="111" t="s">
        <v>472</v>
      </c>
      <c r="H556" s="125"/>
      <c r="I556" s="134"/>
      <c r="J556" s="134"/>
      <c r="K556" s="13">
        <v>20000</v>
      </c>
      <c r="L556" s="113" t="s">
        <v>82</v>
      </c>
      <c r="M556" s="402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>x</v>
      </c>
      <c r="Y556" s="22" t="str">
        <f>IF(AND(B556&lt;=NKC!$N$8,B556&gt;=NKC!$M$8),"x","")</f>
        <v/>
      </c>
      <c r="Z556" s="563">
        <v>4</v>
      </c>
    </row>
    <row r="557" spans="1:26" ht="15.75" customHeight="1">
      <c r="A557" s="120" t="str">
        <f>IF(B557&lt;&gt;"",IF(AND(B557&gt;=_TM1,B557&lt;=_TM2,OR(TH!L557="1111",TH!M557="1111")),TH!D557,""),"")</f>
        <v/>
      </c>
      <c r="B557" s="12">
        <f t="shared" si="20"/>
        <v>11</v>
      </c>
      <c r="C557" s="105">
        <f t="shared" si="21"/>
        <v>42692</v>
      </c>
      <c r="D557" s="105" t="s">
        <v>468</v>
      </c>
      <c r="E557" s="110">
        <v>42692</v>
      </c>
      <c r="F557" s="111" t="s">
        <v>479</v>
      </c>
      <c r="G557" s="111" t="s">
        <v>472</v>
      </c>
      <c r="H557" s="125"/>
      <c r="I557" s="133"/>
      <c r="J557" s="133"/>
      <c r="K557" s="13">
        <v>2000</v>
      </c>
      <c r="L557" s="113" t="s">
        <v>9</v>
      </c>
      <c r="M557" s="402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/>
      </c>
      <c r="Z557" s="563">
        <v>4</v>
      </c>
    </row>
    <row r="558" spans="1:26" ht="15.75" customHeight="1">
      <c r="A558" s="120" t="str">
        <f>IF(B558&lt;&gt;"",IF(AND(B558&gt;=_TM1,B558&lt;=_TM2,OR(TH!L558="1111",TH!M558="1111")),TH!D558,""),"")</f>
        <v>T13</v>
      </c>
      <c r="B558" s="12">
        <f t="shared" si="20"/>
        <v>11</v>
      </c>
      <c r="C558" s="105">
        <f t="shared" si="21"/>
        <v>42692</v>
      </c>
      <c r="D558" s="105" t="s">
        <v>995</v>
      </c>
      <c r="E558" s="110">
        <v>42692</v>
      </c>
      <c r="F558" s="111" t="s">
        <v>483</v>
      </c>
      <c r="G558" s="111" t="s">
        <v>472</v>
      </c>
      <c r="H558" s="125" t="s">
        <v>794</v>
      </c>
      <c r="I558" s="133"/>
      <c r="J558" s="133"/>
      <c r="K558" s="13">
        <v>54300000</v>
      </c>
      <c r="L558" s="113" t="s">
        <v>46</v>
      </c>
      <c r="M558" s="402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>x</v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/>
      </c>
      <c r="Z558" s="563"/>
    </row>
    <row r="559" spans="1:26" ht="15.75" customHeight="1">
      <c r="A559" s="120" t="str">
        <f>IF(B559&lt;&gt;"",IF(AND(B559&gt;=_TM1,B559&lt;=_TM2,OR(TH!L559="1111",TH!M559="1111")),TH!D559,""),"")</f>
        <v>C19</v>
      </c>
      <c r="B559" s="12">
        <f t="shared" si="20"/>
        <v>11</v>
      </c>
      <c r="C559" s="105">
        <f t="shared" si="21"/>
        <v>42693</v>
      </c>
      <c r="D559" s="110" t="s">
        <v>1005</v>
      </c>
      <c r="E559" s="110">
        <v>42693</v>
      </c>
      <c r="F559" s="109" t="s">
        <v>872</v>
      </c>
      <c r="G559" s="298" t="s">
        <v>874</v>
      </c>
      <c r="H559" s="112" t="s">
        <v>875</v>
      </c>
      <c r="I559" s="133"/>
      <c r="J559" s="133"/>
      <c r="K559" s="13">
        <v>843000</v>
      </c>
      <c r="L559" s="113" t="s">
        <v>82</v>
      </c>
      <c r="M559" s="402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>x</v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>x</v>
      </c>
      <c r="Y559" s="22" t="str">
        <f>IF(AND(B559&lt;=NKC!$N$8,B559&gt;=NKC!$M$8),"x","")</f>
        <v/>
      </c>
      <c r="Z559" s="563">
        <v>4</v>
      </c>
    </row>
    <row r="560" spans="1:26" ht="15.75" customHeight="1">
      <c r="A560" s="120" t="str">
        <f>IF(B560&lt;&gt;"",IF(AND(B560&gt;=_TM1,B560&lt;=_TM2,OR(TH!L560="1111",TH!M560="1111")),TH!D560,""),"")</f>
        <v>C19</v>
      </c>
      <c r="B560" s="12">
        <f t="shared" si="20"/>
        <v>11</v>
      </c>
      <c r="C560" s="105">
        <f t="shared" si="21"/>
        <v>42693</v>
      </c>
      <c r="D560" s="110" t="s">
        <v>1005</v>
      </c>
      <c r="E560" s="110">
        <v>42693</v>
      </c>
      <c r="F560" s="109" t="s">
        <v>873</v>
      </c>
      <c r="G560" s="298" t="s">
        <v>874</v>
      </c>
      <c r="H560" s="112" t="s">
        <v>875</v>
      </c>
      <c r="I560" s="133"/>
      <c r="J560" s="133"/>
      <c r="K560" s="13">
        <v>84300</v>
      </c>
      <c r="L560" s="113" t="s">
        <v>9</v>
      </c>
      <c r="M560" s="402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>x</v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/>
      </c>
      <c r="Z560" s="563">
        <v>4</v>
      </c>
    </row>
    <row r="561" spans="1:26" ht="15.75" customHeight="1">
      <c r="A561" s="120" t="str">
        <f>IF(B561&lt;&gt;"",IF(AND(B561&gt;=_TM1,B561&lt;=_TM2,OR(TH!L561="1111",TH!M561="1111")),TH!D561,""),"")</f>
        <v/>
      </c>
      <c r="B561" s="12">
        <f t="shared" si="20"/>
        <v>11</v>
      </c>
      <c r="C561" s="105">
        <f t="shared" si="21"/>
        <v>42693</v>
      </c>
      <c r="D561" s="105" t="s">
        <v>565</v>
      </c>
      <c r="E561" s="110">
        <v>42693</v>
      </c>
      <c r="F561" s="109" t="s">
        <v>683</v>
      </c>
      <c r="G561" s="296" t="s">
        <v>767</v>
      </c>
      <c r="H561" s="4" t="s">
        <v>367</v>
      </c>
      <c r="I561" s="134">
        <v>23</v>
      </c>
      <c r="J561" s="134">
        <v>16070</v>
      </c>
      <c r="K561" s="13">
        <f t="shared" ref="K561:K566" si="22">ROUND(I561*J561,0)</f>
        <v>369610</v>
      </c>
      <c r="L561" s="113" t="s">
        <v>251</v>
      </c>
      <c r="M561" s="402" t="s">
        <v>168</v>
      </c>
      <c r="N561" s="22" t="str">
        <f>IF(AND('331-CT'!$E$7=TH!H561,OR(L561="331",M561="331")),"331",IF(AND(OR(L561="131",M561="131"),H561='131-CT'!$E$7),"131",""))</f>
        <v>131</v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/>
      </c>
      <c r="Z561" s="563"/>
    </row>
    <row r="562" spans="1:26" ht="15.75" customHeight="1">
      <c r="A562" s="120" t="str">
        <f>IF(B562&lt;&gt;"",IF(AND(B562&gt;=_TM1,B562&lt;=_TM2,OR(TH!L562="1111",TH!M562="1111")),TH!D562,""),"")</f>
        <v/>
      </c>
      <c r="B562" s="12">
        <f t="shared" si="20"/>
        <v>11</v>
      </c>
      <c r="C562" s="105">
        <f t="shared" si="21"/>
        <v>42693</v>
      </c>
      <c r="D562" s="105" t="s">
        <v>565</v>
      </c>
      <c r="E562" s="110">
        <v>42693</v>
      </c>
      <c r="F562" s="109" t="s">
        <v>496</v>
      </c>
      <c r="G562" s="296" t="s">
        <v>767</v>
      </c>
      <c r="H562" s="4" t="s">
        <v>367</v>
      </c>
      <c r="I562" s="134">
        <v>63</v>
      </c>
      <c r="J562" s="134">
        <v>75276</v>
      </c>
      <c r="K562" s="13">
        <f t="shared" si="22"/>
        <v>4742388</v>
      </c>
      <c r="L562" s="113" t="s">
        <v>251</v>
      </c>
      <c r="M562" s="402" t="s">
        <v>168</v>
      </c>
      <c r="N562" s="22" t="str">
        <f>IF(AND('331-CT'!$E$7=TH!H562,OR(L562="331",M562="331")),"331",IF(AND(OR(L562="131",M562="131"),H562='131-CT'!$E$7),"131",""))</f>
        <v>131</v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/>
      </c>
      <c r="Z562" s="563"/>
    </row>
    <row r="563" spans="1:26" ht="15.75" customHeight="1">
      <c r="A563" s="120" t="str">
        <f>IF(B563&lt;&gt;"",IF(AND(B563&gt;=_TM1,B563&lt;=_TM2,OR(TH!L563="1111",TH!M563="1111")),TH!D563,""),"")</f>
        <v/>
      </c>
      <c r="B563" s="12">
        <f t="shared" si="20"/>
        <v>11</v>
      </c>
      <c r="C563" s="105">
        <f t="shared" si="21"/>
        <v>42693</v>
      </c>
      <c r="D563" s="105" t="s">
        <v>565</v>
      </c>
      <c r="E563" s="110">
        <v>42693</v>
      </c>
      <c r="F563" s="109" t="s">
        <v>684</v>
      </c>
      <c r="G563" s="296" t="s">
        <v>767</v>
      </c>
      <c r="H563" s="4" t="s">
        <v>367</v>
      </c>
      <c r="I563" s="133">
        <v>27</v>
      </c>
      <c r="J563" s="133">
        <v>29954</v>
      </c>
      <c r="K563" s="13">
        <f t="shared" si="22"/>
        <v>808758</v>
      </c>
      <c r="L563" s="113" t="s">
        <v>251</v>
      </c>
      <c r="M563" s="402" t="s">
        <v>168</v>
      </c>
      <c r="N563" s="22" t="str">
        <f>IF(AND('331-CT'!$E$7=TH!H563,OR(L563="331",M563="331")),"331",IF(AND(OR(L563="131",M563="131"),H563='131-CT'!$E$7),"131",""))</f>
        <v>131</v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/>
      </c>
      <c r="Z563" s="563"/>
    </row>
    <row r="564" spans="1:26" ht="15.75" customHeight="1">
      <c r="A564" s="120" t="str">
        <f>IF(B564&lt;&gt;"",IF(AND(B564&gt;=_TM1,B564&lt;=_TM2,OR(TH!L564="1111",TH!M564="1111")),TH!D564,""),"")</f>
        <v/>
      </c>
      <c r="B564" s="12">
        <f t="shared" si="20"/>
        <v>11</v>
      </c>
      <c r="C564" s="105">
        <f t="shared" si="21"/>
        <v>42693</v>
      </c>
      <c r="D564" s="105" t="s">
        <v>565</v>
      </c>
      <c r="E564" s="110">
        <v>42693</v>
      </c>
      <c r="F564" s="109" t="s">
        <v>685</v>
      </c>
      <c r="G564" s="296" t="s">
        <v>767</v>
      </c>
      <c r="H564" s="4" t="s">
        <v>367</v>
      </c>
      <c r="I564" s="133">
        <v>27</v>
      </c>
      <c r="J564" s="133">
        <v>27926</v>
      </c>
      <c r="K564" s="13">
        <f t="shared" si="22"/>
        <v>754002</v>
      </c>
      <c r="L564" s="113" t="s">
        <v>251</v>
      </c>
      <c r="M564" s="402" t="s">
        <v>168</v>
      </c>
      <c r="N564" s="22" t="str">
        <f>IF(AND('331-CT'!$E$7=TH!H564,OR(L564="331",M564="331")),"331",IF(AND(OR(L564="131",M564="131"),H564='131-CT'!$E$7),"131",""))</f>
        <v>131</v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/>
      </c>
      <c r="Z564" s="563"/>
    </row>
    <row r="565" spans="1:26" ht="15.75" customHeight="1">
      <c r="A565" s="120" t="str">
        <f>IF(B565&lt;&gt;"",IF(AND(B565&gt;=_TM1,B565&lt;=_TM2,OR(TH!L565="1111",TH!M565="1111")),TH!D565,""),"")</f>
        <v/>
      </c>
      <c r="B565" s="12">
        <f t="shared" si="20"/>
        <v>11</v>
      </c>
      <c r="C565" s="105">
        <f t="shared" si="21"/>
        <v>42693</v>
      </c>
      <c r="D565" s="105" t="s">
        <v>565</v>
      </c>
      <c r="E565" s="110">
        <v>42693</v>
      </c>
      <c r="F565" s="109" t="s">
        <v>686</v>
      </c>
      <c r="G565" s="296" t="s">
        <v>767</v>
      </c>
      <c r="H565" s="4" t="s">
        <v>367</v>
      </c>
      <c r="I565" s="133">
        <v>26</v>
      </c>
      <c r="J565" s="133">
        <v>42230</v>
      </c>
      <c r="K565" s="13">
        <f t="shared" si="22"/>
        <v>1097980</v>
      </c>
      <c r="L565" s="113" t="s">
        <v>251</v>
      </c>
      <c r="M565" s="402" t="s">
        <v>168</v>
      </c>
      <c r="N565" s="22" t="str">
        <f>IF(AND('331-CT'!$E$7=TH!H565,OR(L565="331",M565="331")),"331",IF(AND(OR(L565="131",M565="131"),H565='131-CT'!$E$7),"131",""))</f>
        <v>131</v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/>
      </c>
      <c r="Z565" s="563"/>
    </row>
    <row r="566" spans="1:26" ht="15.75" customHeight="1">
      <c r="A566" s="120" t="str">
        <f>IF(B566&lt;&gt;"",IF(AND(B566&gt;=_TM1,B566&lt;=_TM2,OR(TH!L566="1111",TH!M566="1111")),TH!D566,""),"")</f>
        <v/>
      </c>
      <c r="B566" s="12">
        <f t="shared" si="20"/>
        <v>11</v>
      </c>
      <c r="C566" s="105">
        <f t="shared" si="21"/>
        <v>42693</v>
      </c>
      <c r="D566" s="105" t="s">
        <v>565</v>
      </c>
      <c r="E566" s="110">
        <v>42693</v>
      </c>
      <c r="F566" s="109" t="s">
        <v>687</v>
      </c>
      <c r="G566" s="296" t="s">
        <v>767</v>
      </c>
      <c r="H566" s="4" t="s">
        <v>367</v>
      </c>
      <c r="I566" s="133">
        <v>21</v>
      </c>
      <c r="J566" s="133">
        <v>21839</v>
      </c>
      <c r="K566" s="13">
        <f t="shared" si="22"/>
        <v>458619</v>
      </c>
      <c r="L566" s="113" t="s">
        <v>251</v>
      </c>
      <c r="M566" s="402" t="s">
        <v>168</v>
      </c>
      <c r="N566" s="22" t="str">
        <f>IF(AND('331-CT'!$E$7=TH!H566,OR(L566="331",M566="331")),"331",IF(AND(OR(L566="131",M566="131"),H566='131-CT'!$E$7),"131",""))</f>
        <v>131</v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/>
      </c>
      <c r="Z566" s="563"/>
    </row>
    <row r="567" spans="1:26" ht="15.75" customHeight="1">
      <c r="A567" s="120" t="str">
        <f>IF(B567&lt;&gt;"",IF(AND(B567&gt;=_TM1,B567&lt;=_TM2,OR(TH!L567="1111",TH!M567="1111")),TH!D567,""),"")</f>
        <v/>
      </c>
      <c r="B567" s="12">
        <f t="shared" si="20"/>
        <v>11</v>
      </c>
      <c r="C567" s="105">
        <f t="shared" si="21"/>
        <v>42693</v>
      </c>
      <c r="D567" s="105" t="s">
        <v>565</v>
      </c>
      <c r="E567" s="110">
        <v>42693</v>
      </c>
      <c r="F567" s="109" t="s">
        <v>494</v>
      </c>
      <c r="G567" s="296" t="s">
        <v>767</v>
      </c>
      <c r="H567" s="4" t="s">
        <v>367</v>
      </c>
      <c r="I567" s="133"/>
      <c r="J567" s="133"/>
      <c r="K567" s="13">
        <v>823136</v>
      </c>
      <c r="L567" s="113" t="s">
        <v>251</v>
      </c>
      <c r="M567" s="402" t="s">
        <v>350</v>
      </c>
      <c r="N567" s="22" t="str">
        <f>IF(AND('331-CT'!$E$7=TH!H567,OR(L567="331",M567="331")),"331",IF(AND(OR(L567="131",M567="131"),H567='131-CT'!$E$7),"131",""))</f>
        <v>131</v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/>
      </c>
      <c r="Z567" s="563"/>
    </row>
    <row r="568" spans="1:26" ht="15.75" customHeight="1">
      <c r="A568" s="120" t="str">
        <f>IF(B568&lt;&gt;"",IF(AND(B568&gt;=_TM1,B568&lt;=_TM2,OR(TH!L568="1111",TH!M568="1111")),TH!D568,""),"")</f>
        <v>T14</v>
      </c>
      <c r="B568" s="12">
        <f t="shared" si="20"/>
        <v>11</v>
      </c>
      <c r="C568" s="105">
        <f t="shared" si="21"/>
        <v>42693</v>
      </c>
      <c r="D568" s="105" t="s">
        <v>996</v>
      </c>
      <c r="E568" s="110">
        <v>42693</v>
      </c>
      <c r="F568" s="111" t="s">
        <v>482</v>
      </c>
      <c r="G568" s="296" t="s">
        <v>767</v>
      </c>
      <c r="H568" s="4" t="s">
        <v>367</v>
      </c>
      <c r="I568" s="133"/>
      <c r="J568" s="133"/>
      <c r="K568" s="13">
        <v>9054493</v>
      </c>
      <c r="L568" s="113" t="s">
        <v>46</v>
      </c>
      <c r="M568" s="402" t="s">
        <v>251</v>
      </c>
      <c r="N568" s="22" t="str">
        <f>IF(AND('331-CT'!$E$7=TH!H568,OR(L568="331",M568="331")),"331",IF(AND(OR(L568="131",M568="131"),H568='131-CT'!$E$7),"131",""))</f>
        <v>131</v>
      </c>
      <c r="O568" s="22" t="str">
        <f>IF(AND($B568&gt;='111'!$N$11,$B568&lt;='111'!$O$11,OR($L568=$O$7,$M568=$O$7)),"x","")</f>
        <v>x</v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/>
      </c>
      <c r="Z568" s="563"/>
    </row>
    <row r="569" spans="1:26" ht="15.75" customHeight="1">
      <c r="A569" s="120" t="str">
        <f>IF(B569&lt;&gt;"",IF(AND(B569&gt;=_TM1,B569&lt;=_TM2,OR(TH!L569="1111",TH!M569="1111")),TH!D569,""),"")</f>
        <v/>
      </c>
      <c r="B569" s="12">
        <f t="shared" si="20"/>
        <v>11</v>
      </c>
      <c r="C569" s="105">
        <f t="shared" si="21"/>
        <v>42693</v>
      </c>
      <c r="D569" s="105" t="s">
        <v>567</v>
      </c>
      <c r="E569" s="110">
        <v>42693</v>
      </c>
      <c r="F569" s="109" t="s">
        <v>811</v>
      </c>
      <c r="G569" s="296" t="s">
        <v>813</v>
      </c>
      <c r="H569" s="4" t="s">
        <v>812</v>
      </c>
      <c r="I569" s="133">
        <v>4000</v>
      </c>
      <c r="J569" s="133">
        <v>4500</v>
      </c>
      <c r="K569" s="13">
        <f>ROUND(I569*J569,0)</f>
        <v>18000000</v>
      </c>
      <c r="L569" s="113" t="s">
        <v>251</v>
      </c>
      <c r="M569" s="402" t="s">
        <v>168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/>
      </c>
      <c r="Z569" s="563"/>
    </row>
    <row r="570" spans="1:26" ht="15.75" customHeight="1">
      <c r="A570" s="120" t="str">
        <f>IF(B570&lt;&gt;"",IF(AND(B570&gt;=_TM1,B570&lt;=_TM2,OR(TH!L570="1111",TH!M570="1111")),TH!D570,""),"")</f>
        <v/>
      </c>
      <c r="B570" s="12">
        <f t="shared" si="20"/>
        <v>11</v>
      </c>
      <c r="C570" s="105">
        <f t="shared" si="21"/>
        <v>42693</v>
      </c>
      <c r="D570" s="105" t="s">
        <v>567</v>
      </c>
      <c r="E570" s="110">
        <v>42693</v>
      </c>
      <c r="F570" s="109" t="s">
        <v>494</v>
      </c>
      <c r="G570" s="296" t="s">
        <v>813</v>
      </c>
      <c r="H570" s="4" t="s">
        <v>812</v>
      </c>
      <c r="I570" s="134"/>
      <c r="J570" s="134"/>
      <c r="K570" s="13">
        <v>1800000</v>
      </c>
      <c r="L570" s="113" t="s">
        <v>251</v>
      </c>
      <c r="M570" s="402" t="s">
        <v>350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/>
      </c>
      <c r="Z570" s="563"/>
    </row>
    <row r="571" spans="1:26" ht="15.75" customHeight="1">
      <c r="A571" s="120" t="str">
        <f>IF(B571&lt;&gt;"",IF(AND(B571&gt;=_TM1,B571&lt;=_TM2,OR(TH!L571="1111",TH!M571="1111")),TH!D571,""),"")</f>
        <v>T15</v>
      </c>
      <c r="B571" s="12">
        <f t="shared" si="20"/>
        <v>11</v>
      </c>
      <c r="C571" s="105">
        <f t="shared" si="21"/>
        <v>42693</v>
      </c>
      <c r="D571" s="105" t="s">
        <v>997</v>
      </c>
      <c r="E571" s="110">
        <v>42693</v>
      </c>
      <c r="F571" s="111" t="s">
        <v>482</v>
      </c>
      <c r="G571" s="296" t="s">
        <v>813</v>
      </c>
      <c r="H571" s="4" t="s">
        <v>812</v>
      </c>
      <c r="I571" s="134"/>
      <c r="J571" s="134"/>
      <c r="K571" s="13">
        <v>19800000</v>
      </c>
      <c r="L571" s="113" t="s">
        <v>46</v>
      </c>
      <c r="M571" s="402" t="s">
        <v>251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>x</v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/>
      </c>
      <c r="Z571" s="563"/>
    </row>
    <row r="572" spans="1:26" ht="15.75" customHeight="1">
      <c r="A572" s="120" t="str">
        <f>IF(B572&lt;&gt;"",IF(AND(B572&gt;=_TM1,B572&lt;=_TM2,OR(TH!L572="1111",TH!M572="1111")),TH!D572,""),"")</f>
        <v/>
      </c>
      <c r="B572" s="12">
        <f t="shared" si="20"/>
        <v>11</v>
      </c>
      <c r="C572" s="105">
        <f t="shared" si="21"/>
        <v>42694</v>
      </c>
      <c r="D572" s="105" t="s">
        <v>566</v>
      </c>
      <c r="E572" s="110">
        <v>42694</v>
      </c>
      <c r="F572" s="109" t="s">
        <v>957</v>
      </c>
      <c r="G572" s="296" t="s">
        <v>436</v>
      </c>
      <c r="H572" s="4" t="s">
        <v>956</v>
      </c>
      <c r="I572" s="133">
        <v>1560</v>
      </c>
      <c r="J572" s="133">
        <v>8813</v>
      </c>
      <c r="K572" s="13">
        <f>ROUND(I572*J572,0)</f>
        <v>13748280</v>
      </c>
      <c r="L572" s="113" t="s">
        <v>251</v>
      </c>
      <c r="M572" s="402" t="s">
        <v>168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/>
      </c>
      <c r="Z572" s="563"/>
    </row>
    <row r="573" spans="1:26" ht="15.75" customHeight="1">
      <c r="A573" s="120" t="str">
        <f>IF(B573&lt;&gt;"",IF(AND(B573&gt;=_TM1,B573&lt;=_TM2,OR(TH!L573="1111",TH!M573="1111")),TH!D573,""),"")</f>
        <v/>
      </c>
      <c r="B573" s="12">
        <f t="shared" si="20"/>
        <v>11</v>
      </c>
      <c r="C573" s="105">
        <f t="shared" si="21"/>
        <v>42694</v>
      </c>
      <c r="D573" s="105" t="s">
        <v>566</v>
      </c>
      <c r="E573" s="110">
        <v>42694</v>
      </c>
      <c r="F573" s="109" t="s">
        <v>494</v>
      </c>
      <c r="G573" s="296" t="s">
        <v>436</v>
      </c>
      <c r="H573" s="4" t="s">
        <v>956</v>
      </c>
      <c r="I573" s="134"/>
      <c r="J573" s="134"/>
      <c r="K573" s="13">
        <v>1374828</v>
      </c>
      <c r="L573" s="113" t="s">
        <v>251</v>
      </c>
      <c r="M573" s="402" t="s">
        <v>350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/>
      </c>
      <c r="Z573" s="563"/>
    </row>
    <row r="574" spans="1:26" ht="15.75" customHeight="1">
      <c r="A574" s="120" t="str">
        <f>IF(B574&lt;&gt;"",IF(AND(B574&gt;=_TM1,B574&lt;=_TM2,OR(TH!L574="1111",TH!M574="1111")),TH!D574,""),"")</f>
        <v>T16</v>
      </c>
      <c r="B574" s="12">
        <f t="shared" si="20"/>
        <v>11</v>
      </c>
      <c r="C574" s="105">
        <f t="shared" si="21"/>
        <v>42694</v>
      </c>
      <c r="D574" s="105" t="s">
        <v>998</v>
      </c>
      <c r="E574" s="110">
        <v>42694</v>
      </c>
      <c r="F574" s="111" t="s">
        <v>482</v>
      </c>
      <c r="G574" s="296" t="s">
        <v>436</v>
      </c>
      <c r="H574" s="4" t="s">
        <v>956</v>
      </c>
      <c r="I574" s="134"/>
      <c r="J574" s="134"/>
      <c r="K574" s="13">
        <v>15123108</v>
      </c>
      <c r="L574" s="113" t="s">
        <v>46</v>
      </c>
      <c r="M574" s="402" t="s">
        <v>251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>x</v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/>
      </c>
      <c r="Z574" s="563"/>
    </row>
    <row r="575" spans="1:26" ht="15.75" customHeight="1">
      <c r="A575" s="120" t="str">
        <f>IF(B575&lt;&gt;"",IF(AND(B575&gt;=_TM1,B575&lt;=_TM2,OR(TH!L575="1111",TH!M575="1111")),TH!D575,""),"")</f>
        <v/>
      </c>
      <c r="B575" s="12">
        <f t="shared" si="20"/>
        <v>11</v>
      </c>
      <c r="C575" s="105">
        <f t="shared" si="21"/>
        <v>42696</v>
      </c>
      <c r="D575" s="105" t="s">
        <v>568</v>
      </c>
      <c r="E575" s="110">
        <v>42696</v>
      </c>
      <c r="F575" s="109" t="s">
        <v>682</v>
      </c>
      <c r="G575" s="296" t="s">
        <v>768</v>
      </c>
      <c r="H575" s="125" t="s">
        <v>821</v>
      </c>
      <c r="I575" s="134">
        <v>608</v>
      </c>
      <c r="J575" s="134">
        <v>20750</v>
      </c>
      <c r="K575" s="13">
        <f>ROUND(I575*J575,0)</f>
        <v>12616000</v>
      </c>
      <c r="L575" s="113" t="s">
        <v>251</v>
      </c>
      <c r="M575" s="402" t="s">
        <v>168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/>
      </c>
      <c r="Z575" s="563"/>
    </row>
    <row r="576" spans="1:26" ht="15.75" customHeight="1">
      <c r="A576" s="120" t="str">
        <f>IF(B576&lt;&gt;"",IF(AND(B576&gt;=_TM1,B576&lt;=_TM2,OR(TH!L576="1111",TH!M576="1111")),TH!D576,""),"")</f>
        <v/>
      </c>
      <c r="B576" s="12">
        <f t="shared" si="20"/>
        <v>11</v>
      </c>
      <c r="C576" s="105">
        <f t="shared" si="21"/>
        <v>42696</v>
      </c>
      <c r="D576" s="105" t="s">
        <v>568</v>
      </c>
      <c r="E576" s="110">
        <v>42696</v>
      </c>
      <c r="F576" s="109" t="s">
        <v>494</v>
      </c>
      <c r="G576" s="296" t="s">
        <v>768</v>
      </c>
      <c r="H576" s="125" t="s">
        <v>821</v>
      </c>
      <c r="I576" s="133"/>
      <c r="J576" s="133"/>
      <c r="K576" s="13">
        <v>1261600</v>
      </c>
      <c r="L576" s="113" t="s">
        <v>251</v>
      </c>
      <c r="M576" s="402" t="s">
        <v>350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/>
      </c>
      <c r="Z576" s="563"/>
    </row>
    <row r="577" spans="1:26" ht="15.75" customHeight="1">
      <c r="A577" s="120" t="str">
        <f>IF(B577&lt;&gt;"",IF(AND(B577&gt;=_TM1,B577&lt;=_TM2,OR(TH!L577="1111",TH!M577="1111")),TH!D577,""),"")</f>
        <v/>
      </c>
      <c r="B577" s="12">
        <f t="shared" si="20"/>
        <v>11</v>
      </c>
      <c r="C577" s="105">
        <f t="shared" si="21"/>
        <v>42697</v>
      </c>
      <c r="D577" s="105" t="s">
        <v>467</v>
      </c>
      <c r="E577" s="110">
        <v>42697</v>
      </c>
      <c r="F577" s="109" t="s">
        <v>482</v>
      </c>
      <c r="G577" s="111" t="s">
        <v>472</v>
      </c>
      <c r="H577" s="125" t="s">
        <v>821</v>
      </c>
      <c r="I577" s="134"/>
      <c r="J577" s="134"/>
      <c r="K577" s="13">
        <v>13877600</v>
      </c>
      <c r="L577" s="113" t="s">
        <v>24</v>
      </c>
      <c r="M577" s="402" t="s">
        <v>251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/>
      </c>
      <c r="Z577" s="563"/>
    </row>
    <row r="578" spans="1:26" ht="15.75" customHeight="1">
      <c r="A578" s="120" t="str">
        <f>IF(B578&lt;&gt;"",IF(AND(B578&gt;=_TM1,B578&lt;=_TM2,OR(TH!L578="1111",TH!M578="1111")),TH!D578,""),"")</f>
        <v/>
      </c>
      <c r="B578" s="12">
        <f t="shared" si="20"/>
        <v>11</v>
      </c>
      <c r="C578" s="105">
        <f t="shared" si="21"/>
        <v>42697</v>
      </c>
      <c r="D578" s="105" t="s">
        <v>569</v>
      </c>
      <c r="E578" s="110">
        <v>42697</v>
      </c>
      <c r="F578" s="109" t="s">
        <v>811</v>
      </c>
      <c r="G578" s="296" t="s">
        <v>814</v>
      </c>
      <c r="H578" s="4" t="s">
        <v>812</v>
      </c>
      <c r="I578" s="133">
        <v>3353</v>
      </c>
      <c r="J578" s="133">
        <v>4500</v>
      </c>
      <c r="K578" s="13">
        <f>ROUND(I578*J578,0)</f>
        <v>15088500</v>
      </c>
      <c r="L578" s="113" t="s">
        <v>251</v>
      </c>
      <c r="M578" s="402" t="s">
        <v>168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/>
      </c>
      <c r="Z578" s="563"/>
    </row>
    <row r="579" spans="1:26" ht="15.75" customHeight="1">
      <c r="A579" s="120" t="str">
        <f>IF(B579&lt;&gt;"",IF(AND(B579&gt;=_TM1,B579&lt;=_TM2,OR(TH!L579="1111",TH!M579="1111")),TH!D579,""),"")</f>
        <v/>
      </c>
      <c r="B579" s="12">
        <f t="shared" si="20"/>
        <v>11</v>
      </c>
      <c r="C579" s="105">
        <f t="shared" si="21"/>
        <v>42697</v>
      </c>
      <c r="D579" s="105" t="s">
        <v>569</v>
      </c>
      <c r="E579" s="110">
        <v>42697</v>
      </c>
      <c r="F579" s="109" t="s">
        <v>494</v>
      </c>
      <c r="G579" s="296" t="s">
        <v>814</v>
      </c>
      <c r="H579" s="4" t="s">
        <v>812</v>
      </c>
      <c r="I579" s="134"/>
      <c r="J579" s="134"/>
      <c r="K579" s="13">
        <v>1508850</v>
      </c>
      <c r="L579" s="113" t="s">
        <v>251</v>
      </c>
      <c r="M579" s="402" t="s">
        <v>350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/>
      </c>
      <c r="Z579" s="563"/>
    </row>
    <row r="580" spans="1:26" ht="15.75" customHeight="1">
      <c r="A580" s="120" t="str">
        <f>IF(B580&lt;&gt;"",IF(AND(B580&gt;=_TM1,B580&lt;=_TM2,OR(TH!L580="1111",TH!M580="1111")),TH!D580,""),"")</f>
        <v>T17</v>
      </c>
      <c r="B580" s="12">
        <f t="shared" si="20"/>
        <v>11</v>
      </c>
      <c r="C580" s="105">
        <f t="shared" si="21"/>
        <v>42697</v>
      </c>
      <c r="D580" s="105" t="s">
        <v>1003</v>
      </c>
      <c r="E580" s="110">
        <v>42697</v>
      </c>
      <c r="F580" s="111" t="s">
        <v>482</v>
      </c>
      <c r="G580" s="296" t="s">
        <v>814</v>
      </c>
      <c r="H580" s="4" t="s">
        <v>812</v>
      </c>
      <c r="I580" s="134"/>
      <c r="J580" s="134"/>
      <c r="K580" s="13">
        <v>16597350</v>
      </c>
      <c r="L580" s="113" t="s">
        <v>46</v>
      </c>
      <c r="M580" s="402" t="s">
        <v>251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>x</v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/>
      </c>
      <c r="Z580" s="563"/>
    </row>
    <row r="581" spans="1:26" ht="15.75" customHeight="1">
      <c r="A581" s="120" t="str">
        <f>IF(B581&lt;&gt;"",IF(AND(B581&gt;=_TM1,B581&lt;=_TM2,OR(TH!L581="1111",TH!M581="1111")),TH!D581,""),"")</f>
        <v>C20</v>
      </c>
      <c r="B581" s="12">
        <f t="shared" si="20"/>
        <v>11</v>
      </c>
      <c r="C581" s="105">
        <f t="shared" si="21"/>
        <v>42698</v>
      </c>
      <c r="D581" s="110" t="s">
        <v>1006</v>
      </c>
      <c r="E581" s="110">
        <v>42698</v>
      </c>
      <c r="F581" s="109" t="s">
        <v>789</v>
      </c>
      <c r="G581" s="298" t="s">
        <v>876</v>
      </c>
      <c r="H581" s="112" t="s">
        <v>792</v>
      </c>
      <c r="I581" s="133"/>
      <c r="J581" s="133"/>
      <c r="K581" s="13">
        <v>1548100</v>
      </c>
      <c r="L581" s="113" t="s">
        <v>82</v>
      </c>
      <c r="M581" s="402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>x</v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>x</v>
      </c>
      <c r="Y581" s="22" t="str">
        <f>IF(AND(B581&lt;=NKC!$N$8,B581&gt;=NKC!$M$8),"x","")</f>
        <v/>
      </c>
      <c r="Z581" s="563">
        <v>4</v>
      </c>
    </row>
    <row r="582" spans="1:26" ht="15.75" customHeight="1">
      <c r="A582" s="120" t="str">
        <f>IF(B582&lt;&gt;"",IF(AND(B582&gt;=_TM1,B582&lt;=_TM2,OR(TH!L582="1111",TH!M582="1111")),TH!D582,""),"")</f>
        <v>C20</v>
      </c>
      <c r="B582" s="12">
        <f t="shared" si="20"/>
        <v>11</v>
      </c>
      <c r="C582" s="105">
        <f t="shared" si="21"/>
        <v>42698</v>
      </c>
      <c r="D582" s="110" t="s">
        <v>1006</v>
      </c>
      <c r="E582" s="110">
        <v>42698</v>
      </c>
      <c r="F582" s="109" t="s">
        <v>790</v>
      </c>
      <c r="G582" s="298" t="s">
        <v>876</v>
      </c>
      <c r="H582" s="112" t="s">
        <v>792</v>
      </c>
      <c r="I582" s="133"/>
      <c r="J582" s="133"/>
      <c r="K582" s="13">
        <v>154810</v>
      </c>
      <c r="L582" s="113" t="s">
        <v>9</v>
      </c>
      <c r="M582" s="402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>x</v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/>
      </c>
      <c r="Z582" s="563">
        <v>4</v>
      </c>
    </row>
    <row r="583" spans="1:26" ht="15.75" customHeight="1">
      <c r="A583" s="120" t="str">
        <f>IF(B583&lt;&gt;"",IF(AND(B583&gt;=_TM1,B583&lt;=_TM2,OR(TH!L583="1111",TH!M583="1111")),TH!D583,""),"")</f>
        <v/>
      </c>
      <c r="B583" s="12">
        <f t="shared" si="20"/>
        <v>11</v>
      </c>
      <c r="C583" s="105">
        <f t="shared" si="21"/>
        <v>42698</v>
      </c>
      <c r="D583" s="110" t="s">
        <v>946</v>
      </c>
      <c r="E583" s="110">
        <v>42698</v>
      </c>
      <c r="F583" s="109" t="s">
        <v>775</v>
      </c>
      <c r="G583" s="298" t="s">
        <v>716</v>
      </c>
      <c r="H583" s="112" t="s">
        <v>778</v>
      </c>
      <c r="I583" s="133">
        <v>17050</v>
      </c>
      <c r="J583" s="133">
        <v>800</v>
      </c>
      <c r="K583" s="13">
        <f>ROUND(I583*J583,0)</f>
        <v>13640000</v>
      </c>
      <c r="L583" s="113" t="s">
        <v>155</v>
      </c>
      <c r="M583" s="113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/>
      </c>
      <c r="Z583" s="563">
        <v>4</v>
      </c>
    </row>
    <row r="584" spans="1:26" ht="15.75" customHeight="1">
      <c r="A584" s="120" t="str">
        <f>IF(B584&lt;&gt;"",IF(AND(B584&gt;=_TM1,B584&lt;=_TM2,OR(TH!L584="1111",TH!M584="1111")),TH!D584,""),"")</f>
        <v/>
      </c>
      <c r="B584" s="12">
        <f t="shared" si="20"/>
        <v>11</v>
      </c>
      <c r="C584" s="105">
        <f t="shared" si="21"/>
        <v>42698</v>
      </c>
      <c r="D584" s="110" t="s">
        <v>946</v>
      </c>
      <c r="E584" s="110">
        <v>42698</v>
      </c>
      <c r="F584" s="109" t="s">
        <v>776</v>
      </c>
      <c r="G584" s="298" t="s">
        <v>716</v>
      </c>
      <c r="H584" s="112" t="s">
        <v>778</v>
      </c>
      <c r="I584" s="133"/>
      <c r="J584" s="133"/>
      <c r="K584" s="13">
        <v>1364000</v>
      </c>
      <c r="L584" s="113" t="s">
        <v>9</v>
      </c>
      <c r="M584" s="113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/>
      </c>
      <c r="Z584" s="563">
        <v>4</v>
      </c>
    </row>
    <row r="585" spans="1:26" ht="15.75" customHeight="1">
      <c r="A585" s="120" t="str">
        <f>IF(B585&lt;&gt;"",IF(AND(B585&gt;=_TM1,B585&lt;=_TM2,OR(TH!L585="1111",TH!M585="1111")),TH!D585,""),"")</f>
        <v>C21</v>
      </c>
      <c r="B585" s="12">
        <f t="shared" si="20"/>
        <v>11</v>
      </c>
      <c r="C585" s="105">
        <f t="shared" si="21"/>
        <v>42698</v>
      </c>
      <c r="D585" s="110" t="s">
        <v>1007</v>
      </c>
      <c r="E585" s="110">
        <v>42698</v>
      </c>
      <c r="F585" s="109" t="s">
        <v>463</v>
      </c>
      <c r="G585" s="298" t="s">
        <v>716</v>
      </c>
      <c r="H585" s="112" t="s">
        <v>778</v>
      </c>
      <c r="I585" s="133"/>
      <c r="J585" s="133"/>
      <c r="K585" s="13">
        <v>15004000</v>
      </c>
      <c r="L585" s="113" t="s">
        <v>8</v>
      </c>
      <c r="M585" s="402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>x</v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/>
      </c>
      <c r="Z585" s="563"/>
    </row>
    <row r="586" spans="1:26" ht="15.75" customHeight="1">
      <c r="A586" s="120" t="str">
        <f>IF(B586&lt;&gt;"",IF(AND(B586&gt;=_TM1,B586&lt;=_TM2,OR(TH!L586="1111",TH!M586="1111")),TH!D586,""),"")</f>
        <v/>
      </c>
      <c r="B586" s="12">
        <f t="shared" si="20"/>
        <v>11</v>
      </c>
      <c r="C586" s="105">
        <f t="shared" si="21"/>
        <v>42698</v>
      </c>
      <c r="D586" s="105" t="s">
        <v>467</v>
      </c>
      <c r="E586" s="110">
        <v>42698</v>
      </c>
      <c r="F586" s="109" t="s">
        <v>482</v>
      </c>
      <c r="G586" s="111" t="s">
        <v>472</v>
      </c>
      <c r="H586" s="4" t="s">
        <v>369</v>
      </c>
      <c r="I586" s="133"/>
      <c r="J586" s="133"/>
      <c r="K586" s="13">
        <v>18385400</v>
      </c>
      <c r="L586" s="113" t="s">
        <v>24</v>
      </c>
      <c r="M586" s="402" t="s">
        <v>251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/>
      </c>
      <c r="Z586" s="563"/>
    </row>
    <row r="587" spans="1:26" ht="15.75" customHeight="1">
      <c r="A587" s="120" t="str">
        <f>IF(B587&lt;&gt;"",IF(AND(B587&gt;=_TM1,B587&lt;=_TM2,OR(TH!L587="1111",TH!M587="1111")),TH!D587,""),"")</f>
        <v/>
      </c>
      <c r="B587" s="12">
        <f t="shared" si="20"/>
        <v>11</v>
      </c>
      <c r="C587" s="105">
        <f t="shared" si="21"/>
        <v>42698</v>
      </c>
      <c r="D587" s="105" t="s">
        <v>467</v>
      </c>
      <c r="E587" s="110">
        <v>42698</v>
      </c>
      <c r="F587" s="109" t="s">
        <v>797</v>
      </c>
      <c r="G587" s="111" t="s">
        <v>472</v>
      </c>
      <c r="H587" s="4" t="s">
        <v>369</v>
      </c>
      <c r="I587" s="133"/>
      <c r="J587" s="133"/>
      <c r="K587" s="13">
        <v>22000</v>
      </c>
      <c r="L587" s="113" t="s">
        <v>82</v>
      </c>
      <c r="M587" s="402" t="s">
        <v>251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>x</v>
      </c>
      <c r="Y587" s="22" t="str">
        <f>IF(AND(B587&lt;=NKC!$N$8,B587&gt;=NKC!$M$8),"x","")</f>
        <v/>
      </c>
      <c r="Z587" s="563"/>
    </row>
    <row r="588" spans="1:26" ht="15.75" customHeight="1">
      <c r="A588" s="120" t="str">
        <f>IF(B588&lt;&gt;"",IF(AND(B588&gt;=_TM1,B588&lt;=_TM2,OR(TH!L588="1111",TH!M588="1111")),TH!D588,""),"")</f>
        <v/>
      </c>
      <c r="B588" s="12">
        <f t="shared" si="20"/>
        <v>11</v>
      </c>
      <c r="C588" s="105">
        <f t="shared" si="21"/>
        <v>42699</v>
      </c>
      <c r="D588" s="105" t="s">
        <v>467</v>
      </c>
      <c r="E588" s="110">
        <v>42699</v>
      </c>
      <c r="F588" s="109" t="s">
        <v>474</v>
      </c>
      <c r="G588" s="111" t="s">
        <v>472</v>
      </c>
      <c r="H588" s="17"/>
      <c r="I588" s="134"/>
      <c r="J588" s="134"/>
      <c r="K588" s="13">
        <v>5005</v>
      </c>
      <c r="L588" s="113" t="s">
        <v>24</v>
      </c>
      <c r="M588" s="402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/>
      </c>
      <c r="Z588" s="563"/>
    </row>
    <row r="589" spans="1:26" ht="15.75" customHeight="1">
      <c r="A589" s="120" t="str">
        <f>IF(B589&lt;&gt;"",IF(AND(B589&gt;=_TM1,B589&lt;=_TM2,OR(TH!L589="1111",TH!M589="1111")),TH!D589,""),"")</f>
        <v>T18</v>
      </c>
      <c r="B589" s="12">
        <f t="shared" si="20"/>
        <v>11</v>
      </c>
      <c r="C589" s="105">
        <f t="shared" si="21"/>
        <v>42699</v>
      </c>
      <c r="D589" s="105" t="s">
        <v>1004</v>
      </c>
      <c r="E589" s="110">
        <v>42699</v>
      </c>
      <c r="F589" s="111" t="s">
        <v>483</v>
      </c>
      <c r="G589" s="111" t="s">
        <v>472</v>
      </c>
      <c r="H589" s="112" t="s">
        <v>486</v>
      </c>
      <c r="I589" s="133"/>
      <c r="J589" s="135"/>
      <c r="K589" s="13">
        <v>20000000</v>
      </c>
      <c r="L589" s="113" t="s">
        <v>46</v>
      </c>
      <c r="M589" s="402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>x</v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/>
      </c>
      <c r="Z589" s="563"/>
    </row>
    <row r="590" spans="1:26" ht="15.75" customHeight="1">
      <c r="A590" s="120" t="str">
        <f>IF(B590&lt;&gt;"",IF(AND(B590&gt;=_TM1,B590&lt;=_TM2,OR(TH!L590="1111",TH!M590="1111")),TH!D590,""),"")</f>
        <v/>
      </c>
      <c r="B590" s="12">
        <f t="shared" si="20"/>
        <v>11</v>
      </c>
      <c r="C590" s="105">
        <f t="shared" si="21"/>
        <v>42699</v>
      </c>
      <c r="D590" s="105" t="s">
        <v>468</v>
      </c>
      <c r="E590" s="110">
        <v>42699</v>
      </c>
      <c r="F590" s="111" t="s">
        <v>463</v>
      </c>
      <c r="G590" s="111" t="s">
        <v>472</v>
      </c>
      <c r="H590" s="547" t="s">
        <v>396</v>
      </c>
      <c r="I590" s="133"/>
      <c r="J590" s="135"/>
      <c r="K590" s="13">
        <v>12500000</v>
      </c>
      <c r="L590" s="113" t="s">
        <v>8</v>
      </c>
      <c r="M590" s="402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/>
      </c>
      <c r="Z590" s="563"/>
    </row>
    <row r="591" spans="1:26" ht="15.75" customHeight="1">
      <c r="A591" s="120" t="str">
        <f>IF(B591&lt;&gt;"",IF(AND(B591&gt;=_TM1,B591&lt;=_TM2,OR(TH!L591="1111",TH!M591="1111")),TH!D591,""),"")</f>
        <v/>
      </c>
      <c r="B591" s="12">
        <f t="shared" si="20"/>
        <v>11</v>
      </c>
      <c r="C591" s="105">
        <f t="shared" si="21"/>
        <v>42699</v>
      </c>
      <c r="D591" s="105" t="s">
        <v>468</v>
      </c>
      <c r="E591" s="110">
        <v>42699</v>
      </c>
      <c r="F591" s="111" t="s">
        <v>470</v>
      </c>
      <c r="G591" s="111" t="s">
        <v>472</v>
      </c>
      <c r="H591" s="112"/>
      <c r="I591" s="133"/>
      <c r="J591" s="135"/>
      <c r="K591" s="13">
        <v>20000</v>
      </c>
      <c r="L591" s="113" t="s">
        <v>82</v>
      </c>
      <c r="M591" s="402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>x</v>
      </c>
      <c r="Y591" s="22" t="str">
        <f>IF(AND(B591&lt;=NKC!$N$8,B591&gt;=NKC!$M$8),"x","")</f>
        <v/>
      </c>
      <c r="Z591" s="563">
        <v>4</v>
      </c>
    </row>
    <row r="592" spans="1:26" ht="15.75" customHeight="1">
      <c r="A592" s="120" t="str">
        <f>IF(B592&lt;&gt;"",IF(AND(B592&gt;=_TM1,B592&lt;=_TM2,OR(TH!L592="1111",TH!M592="1111")),TH!D592,""),"")</f>
        <v/>
      </c>
      <c r="B592" s="12">
        <f t="shared" si="20"/>
        <v>11</v>
      </c>
      <c r="C592" s="105">
        <f t="shared" si="21"/>
        <v>42699</v>
      </c>
      <c r="D592" s="105" t="s">
        <v>468</v>
      </c>
      <c r="E592" s="110">
        <v>42699</v>
      </c>
      <c r="F592" s="111" t="s">
        <v>471</v>
      </c>
      <c r="G592" s="111" t="s">
        <v>472</v>
      </c>
      <c r="H592" s="112"/>
      <c r="I592" s="133"/>
      <c r="J592" s="135"/>
      <c r="K592" s="13">
        <v>2000</v>
      </c>
      <c r="L592" s="113" t="s">
        <v>9</v>
      </c>
      <c r="M592" s="402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/>
      </c>
      <c r="Z592" s="563">
        <v>4</v>
      </c>
    </row>
    <row r="593" spans="1:26" ht="15.75" customHeight="1">
      <c r="A593" s="120" t="str">
        <f>IF(B593&lt;&gt;"",IF(AND(B593&gt;=_TM1,B593&lt;=_TM2,OR(TH!L593="1111",TH!M593="1111")),TH!D593,""),"")</f>
        <v/>
      </c>
      <c r="B593" s="12">
        <f t="shared" ref="B593:B656" si="23">IF(C593&lt;&gt;"",MONTH(C593),"")</f>
        <v>11</v>
      </c>
      <c r="C593" s="105">
        <f t="shared" si="21"/>
        <v>42699</v>
      </c>
      <c r="D593" s="105" t="s">
        <v>468</v>
      </c>
      <c r="E593" s="110">
        <v>42699</v>
      </c>
      <c r="F593" s="111" t="s">
        <v>475</v>
      </c>
      <c r="G593" s="111" t="s">
        <v>472</v>
      </c>
      <c r="H593" s="112"/>
      <c r="I593" s="133"/>
      <c r="J593" s="135"/>
      <c r="K593" s="13">
        <v>10000</v>
      </c>
      <c r="L593" s="113" t="s">
        <v>82</v>
      </c>
      <c r="M593" s="402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>x</v>
      </c>
      <c r="Y593" s="22" t="str">
        <f>IF(AND(B593&lt;=NKC!$N$8,B593&gt;=NKC!$M$8),"x","")</f>
        <v/>
      </c>
      <c r="Z593" s="563">
        <v>4</v>
      </c>
    </row>
    <row r="594" spans="1:26" ht="15.75" customHeight="1">
      <c r="A594" s="120" t="str">
        <f>IF(B594&lt;&gt;"",IF(AND(B594&gt;=_TM1,B594&lt;=_TM2,OR(TH!L594="1111",TH!M594="1111")),TH!D594,""),"")</f>
        <v/>
      </c>
      <c r="B594" s="12">
        <f t="shared" si="23"/>
        <v>11</v>
      </c>
      <c r="C594" s="105">
        <f t="shared" si="21"/>
        <v>42699</v>
      </c>
      <c r="D594" s="105" t="s">
        <v>468</v>
      </c>
      <c r="E594" s="110">
        <v>42699</v>
      </c>
      <c r="F594" s="111" t="s">
        <v>476</v>
      </c>
      <c r="G594" s="111" t="s">
        <v>472</v>
      </c>
      <c r="H594" s="112"/>
      <c r="I594" s="133"/>
      <c r="J594" s="135"/>
      <c r="K594" s="13">
        <v>1000</v>
      </c>
      <c r="L594" s="113" t="s">
        <v>9</v>
      </c>
      <c r="M594" s="402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/>
      </c>
      <c r="Z594" s="563">
        <v>4</v>
      </c>
    </row>
    <row r="595" spans="1:26" ht="15.75" customHeight="1">
      <c r="A595" s="120" t="str">
        <f>IF(B595&lt;&gt;"",IF(AND(B595&gt;=_TM1,B595&lt;=_TM2,OR(TH!L595="1111",TH!M595="1111")),TH!D595,""),"")</f>
        <v/>
      </c>
      <c r="B595" s="12">
        <f t="shared" si="23"/>
        <v>11</v>
      </c>
      <c r="C595" s="105">
        <f t="shared" si="21"/>
        <v>42702</v>
      </c>
      <c r="D595" s="105" t="s">
        <v>467</v>
      </c>
      <c r="E595" s="110">
        <v>42702</v>
      </c>
      <c r="F595" s="109" t="s">
        <v>482</v>
      </c>
      <c r="G595" s="111" t="s">
        <v>472</v>
      </c>
      <c r="H595" s="4" t="s">
        <v>369</v>
      </c>
      <c r="I595" s="133"/>
      <c r="J595" s="133"/>
      <c r="K595" s="13">
        <v>22471790</v>
      </c>
      <c r="L595" s="113" t="s">
        <v>24</v>
      </c>
      <c r="M595" s="402" t="s">
        <v>251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/>
      </c>
      <c r="Z595" s="563"/>
    </row>
    <row r="596" spans="1:26" ht="15.75" customHeight="1">
      <c r="A596" s="120" t="str">
        <f>IF(B596&lt;&gt;"",IF(AND(B596&gt;=_TM1,B596&lt;=_TM2,OR(TH!L596="1111",TH!M596="1111")),TH!D596,""),"")</f>
        <v/>
      </c>
      <c r="B596" s="12">
        <f t="shared" si="23"/>
        <v>11</v>
      </c>
      <c r="C596" s="105">
        <f t="shared" si="21"/>
        <v>42702</v>
      </c>
      <c r="D596" s="105" t="s">
        <v>467</v>
      </c>
      <c r="E596" s="110">
        <v>42702</v>
      </c>
      <c r="F596" s="109" t="s">
        <v>797</v>
      </c>
      <c r="G596" s="111" t="s">
        <v>472</v>
      </c>
      <c r="H596" s="4" t="s">
        <v>369</v>
      </c>
      <c r="I596" s="133"/>
      <c r="J596" s="133"/>
      <c r="K596" s="13">
        <v>22000</v>
      </c>
      <c r="L596" s="113" t="s">
        <v>82</v>
      </c>
      <c r="M596" s="402" t="s">
        <v>251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>x</v>
      </c>
      <c r="Y596" s="22" t="str">
        <f>IF(AND(B596&lt;=NKC!$N$8,B596&gt;=NKC!$M$8),"x","")</f>
        <v/>
      </c>
      <c r="Z596" s="563"/>
    </row>
    <row r="597" spans="1:26" ht="15.75" customHeight="1">
      <c r="A597" s="120" t="str">
        <f>IF(B597&lt;&gt;"",IF(AND(B597&gt;=_TM1,B597&lt;=_TM2,OR(TH!L597="1111",TH!M597="1111")),TH!D597,""),"")</f>
        <v>T19</v>
      </c>
      <c r="B597" s="12">
        <f t="shared" si="23"/>
        <v>11</v>
      </c>
      <c r="C597" s="105">
        <f t="shared" ref="C597:C660" si="24">E597</f>
        <v>42703</v>
      </c>
      <c r="D597" s="105" t="s">
        <v>1009</v>
      </c>
      <c r="E597" s="110">
        <v>42703</v>
      </c>
      <c r="F597" s="111" t="s">
        <v>483</v>
      </c>
      <c r="G597" s="111" t="s">
        <v>472</v>
      </c>
      <c r="H597" s="112" t="s">
        <v>486</v>
      </c>
      <c r="I597" s="133"/>
      <c r="J597" s="135"/>
      <c r="K597" s="13">
        <v>22500000</v>
      </c>
      <c r="L597" s="113" t="s">
        <v>46</v>
      </c>
      <c r="M597" s="402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>x</v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/>
      </c>
      <c r="Z597" s="563"/>
    </row>
    <row r="598" spans="1:26" ht="15.75" customHeight="1">
      <c r="A598" s="120" t="str">
        <f>IF(B598&lt;&gt;"",IF(AND(B598&gt;=_TM1,B598&lt;=_TM2,OR(TH!L598="1111",TH!M598="1111")),TH!D598,""),"")</f>
        <v>C22</v>
      </c>
      <c r="B598" s="12">
        <f t="shared" si="23"/>
        <v>11</v>
      </c>
      <c r="C598" s="105">
        <f t="shared" si="24"/>
        <v>42703</v>
      </c>
      <c r="D598" s="110" t="s">
        <v>1008</v>
      </c>
      <c r="E598" s="110">
        <v>42703</v>
      </c>
      <c r="F598" s="109" t="s">
        <v>624</v>
      </c>
      <c r="G598" s="296"/>
      <c r="H598" s="112" t="s">
        <v>486</v>
      </c>
      <c r="I598" s="133"/>
      <c r="J598" s="133"/>
      <c r="K598" s="401">
        <f>ROUND((4*40000+4*30000+12*15000+2*10000)/1.1,0)</f>
        <v>436364</v>
      </c>
      <c r="L598" s="402" t="s">
        <v>253</v>
      </c>
      <c r="M598" s="402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>x</v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/>
      </c>
      <c r="Z598" s="563">
        <v>4</v>
      </c>
    </row>
    <row r="599" spans="1:26" ht="15.75" customHeight="1">
      <c r="A599" s="120" t="str">
        <f>IF(B599&lt;&gt;"",IF(AND(B599&gt;=_TM1,B599&lt;=_TM2,OR(TH!L599="1111",TH!M599="1111")),TH!D599,""),"")</f>
        <v>C22</v>
      </c>
      <c r="B599" s="12">
        <f t="shared" si="23"/>
        <v>11</v>
      </c>
      <c r="C599" s="105">
        <f t="shared" si="24"/>
        <v>42703</v>
      </c>
      <c r="D599" s="110" t="s">
        <v>1008</v>
      </c>
      <c r="E599" s="110">
        <v>42703</v>
      </c>
      <c r="F599" s="109" t="s">
        <v>625</v>
      </c>
      <c r="G599" s="296"/>
      <c r="H599" s="112" t="s">
        <v>486</v>
      </c>
      <c r="I599" s="133"/>
      <c r="J599" s="133"/>
      <c r="K599" s="401">
        <v>43636</v>
      </c>
      <c r="L599" s="402" t="s">
        <v>9</v>
      </c>
      <c r="M599" s="402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>x</v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/>
      </c>
      <c r="Z599" s="563">
        <v>4</v>
      </c>
    </row>
    <row r="600" spans="1:26" ht="15.75" customHeight="1">
      <c r="A600" s="120" t="str">
        <f>IF(B600&lt;&gt;"",IF(AND(B600&gt;=_TM1,B600&lt;=_TM2,OR(TH!L600="1111",TH!M600="1111")),TH!D600,""),"")</f>
        <v/>
      </c>
      <c r="B600" s="12">
        <f t="shared" si="23"/>
        <v>11</v>
      </c>
      <c r="C600" s="105">
        <f t="shared" si="24"/>
        <v>42703</v>
      </c>
      <c r="D600" s="105" t="s">
        <v>570</v>
      </c>
      <c r="E600" s="110">
        <v>42703</v>
      </c>
      <c r="F600" s="109" t="s">
        <v>689</v>
      </c>
      <c r="G600" s="296" t="s">
        <v>769</v>
      </c>
      <c r="H600" s="4" t="s">
        <v>688</v>
      </c>
      <c r="I600" s="133">
        <v>1020</v>
      </c>
      <c r="J600" s="133">
        <v>5900</v>
      </c>
      <c r="K600" s="13">
        <f>ROUND(I600*J600,0)</f>
        <v>6018000</v>
      </c>
      <c r="L600" s="113" t="s">
        <v>251</v>
      </c>
      <c r="M600" s="402" t="s">
        <v>168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/>
      </c>
      <c r="Z600" s="563"/>
    </row>
    <row r="601" spans="1:26" ht="15.75" customHeight="1">
      <c r="A601" s="120" t="str">
        <f>IF(B601&lt;&gt;"",IF(AND(B601&gt;=_TM1,B601&lt;=_TM2,OR(TH!L601="1111",TH!M601="1111")),TH!D601,""),"")</f>
        <v/>
      </c>
      <c r="B601" s="12">
        <f t="shared" si="23"/>
        <v>11</v>
      </c>
      <c r="C601" s="105">
        <f t="shared" si="24"/>
        <v>42703</v>
      </c>
      <c r="D601" s="105" t="s">
        <v>570</v>
      </c>
      <c r="E601" s="110">
        <v>42703</v>
      </c>
      <c r="F601" s="109" t="s">
        <v>494</v>
      </c>
      <c r="G601" s="296" t="s">
        <v>769</v>
      </c>
      <c r="H601" s="4" t="s">
        <v>688</v>
      </c>
      <c r="I601" s="133"/>
      <c r="J601" s="133"/>
      <c r="K601" s="13">
        <v>601800</v>
      </c>
      <c r="L601" s="113" t="s">
        <v>251</v>
      </c>
      <c r="M601" s="402" t="s">
        <v>350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/>
      </c>
      <c r="Z601" s="563"/>
    </row>
    <row r="602" spans="1:26" ht="15.75" customHeight="1">
      <c r="A602" s="120" t="str">
        <f>IF(B602&lt;&gt;"",IF(AND(B602&gt;=_TM1,B602&lt;=_TM2,OR(TH!L602="1111",TH!M602="1111")),TH!D602,""),"")</f>
        <v/>
      </c>
      <c r="B602" s="12">
        <f t="shared" si="23"/>
        <v>11</v>
      </c>
      <c r="C602" s="105">
        <f t="shared" si="24"/>
        <v>42703</v>
      </c>
      <c r="D602" s="105" t="s">
        <v>571</v>
      </c>
      <c r="E602" s="110">
        <v>42703</v>
      </c>
      <c r="F602" s="109" t="s">
        <v>691</v>
      </c>
      <c r="G602" s="296" t="s">
        <v>770</v>
      </c>
      <c r="H602" s="4" t="s">
        <v>367</v>
      </c>
      <c r="I602" s="133">
        <v>25</v>
      </c>
      <c r="J602" s="133">
        <v>56000</v>
      </c>
      <c r="K602" s="13">
        <f>ROUND(I602*J602,0)</f>
        <v>1400000</v>
      </c>
      <c r="L602" s="113" t="s">
        <v>251</v>
      </c>
      <c r="M602" s="402" t="s">
        <v>168</v>
      </c>
      <c r="N602" s="22" t="str">
        <f>IF(AND('331-CT'!$E$7=TH!H602,OR(L602="331",M602="331")),"331",IF(AND(OR(L602="131",M602="131"),H602='131-CT'!$E$7),"131",""))</f>
        <v>131</v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/>
      </c>
      <c r="Z602" s="563"/>
    </row>
    <row r="603" spans="1:26" ht="15.75" customHeight="1">
      <c r="A603" s="120" t="str">
        <f>IF(B603&lt;&gt;"",IF(AND(B603&gt;=_TM1,B603&lt;=_TM2,OR(TH!L603="1111",TH!M603="1111")),TH!D603,""),"")</f>
        <v/>
      </c>
      <c r="B603" s="12">
        <f t="shared" si="23"/>
        <v>11</v>
      </c>
      <c r="C603" s="105">
        <f t="shared" si="24"/>
        <v>42703</v>
      </c>
      <c r="D603" s="105" t="s">
        <v>571</v>
      </c>
      <c r="E603" s="110">
        <v>42703</v>
      </c>
      <c r="F603" s="109" t="s">
        <v>692</v>
      </c>
      <c r="G603" s="296" t="s">
        <v>770</v>
      </c>
      <c r="H603" s="4" t="s">
        <v>367</v>
      </c>
      <c r="I603" s="133">
        <v>5</v>
      </c>
      <c r="J603" s="133">
        <v>53000</v>
      </c>
      <c r="K603" s="13">
        <f>ROUND(I603*J603,0)</f>
        <v>265000</v>
      </c>
      <c r="L603" s="113" t="s">
        <v>251</v>
      </c>
      <c r="M603" s="402" t="s">
        <v>168</v>
      </c>
      <c r="N603" s="22" t="str">
        <f>IF(AND('331-CT'!$E$7=TH!H603,OR(L603="331",M603="331")),"331",IF(AND(OR(L603="131",M603="131"),H603='131-CT'!$E$7),"131",""))</f>
        <v>131</v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/>
      </c>
      <c r="Z603" s="563"/>
    </row>
    <row r="604" spans="1:26" ht="15.75" customHeight="1">
      <c r="A604" s="120" t="str">
        <f>IF(B604&lt;&gt;"",IF(AND(B604&gt;=_TM1,B604&lt;=_TM2,OR(TH!L604="1111",TH!M604="1111")),TH!D604,""),"")</f>
        <v/>
      </c>
      <c r="B604" s="12">
        <f t="shared" si="23"/>
        <v>11</v>
      </c>
      <c r="C604" s="105">
        <f t="shared" si="24"/>
        <v>42703</v>
      </c>
      <c r="D604" s="105" t="s">
        <v>571</v>
      </c>
      <c r="E604" s="110">
        <v>42703</v>
      </c>
      <c r="F604" s="109" t="s">
        <v>693</v>
      </c>
      <c r="G604" s="296" t="s">
        <v>770</v>
      </c>
      <c r="H604" s="4" t="s">
        <v>367</v>
      </c>
      <c r="I604" s="134">
        <v>100</v>
      </c>
      <c r="J604" s="134">
        <v>30237</v>
      </c>
      <c r="K604" s="13">
        <f>ROUND(I604*J604,0)</f>
        <v>3023700</v>
      </c>
      <c r="L604" s="113" t="s">
        <v>251</v>
      </c>
      <c r="M604" s="402" t="s">
        <v>168</v>
      </c>
      <c r="N604" s="22" t="str">
        <f>IF(AND('331-CT'!$E$7=TH!H604,OR(L604="331",M604="331")),"331",IF(AND(OR(L604="131",M604="131"),H604='131-CT'!$E$7),"131",""))</f>
        <v>131</v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/>
      </c>
      <c r="Z604" s="563"/>
    </row>
    <row r="605" spans="1:26" ht="15.75" customHeight="1">
      <c r="A605" s="120" t="str">
        <f>IF(B605&lt;&gt;"",IF(AND(B605&gt;=_TM1,B605&lt;=_TM2,OR(TH!L605="1111",TH!M605="1111")),TH!D605,""),"")</f>
        <v/>
      </c>
      <c r="B605" s="12">
        <f t="shared" si="23"/>
        <v>11</v>
      </c>
      <c r="C605" s="105">
        <f t="shared" si="24"/>
        <v>42703</v>
      </c>
      <c r="D605" s="105" t="s">
        <v>571</v>
      </c>
      <c r="E605" s="110">
        <v>42703</v>
      </c>
      <c r="F605" s="109" t="s">
        <v>694</v>
      </c>
      <c r="G605" s="296" t="s">
        <v>770</v>
      </c>
      <c r="H605" s="4" t="s">
        <v>367</v>
      </c>
      <c r="I605" s="133">
        <v>12</v>
      </c>
      <c r="J605" s="133">
        <v>75900</v>
      </c>
      <c r="K605" s="13">
        <f>ROUND(I605*J605,0)</f>
        <v>910800</v>
      </c>
      <c r="L605" s="113" t="s">
        <v>251</v>
      </c>
      <c r="M605" s="402" t="s">
        <v>168</v>
      </c>
      <c r="N605" s="22" t="str">
        <f>IF(AND('331-CT'!$E$7=TH!H605,OR(L605="331",M605="331")),"331",IF(AND(OR(L605="131",M605="131"),H605='131-CT'!$E$7),"131",""))</f>
        <v>131</v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/>
      </c>
      <c r="Z605" s="563"/>
    </row>
    <row r="606" spans="1:26" ht="15.75" customHeight="1">
      <c r="A606" s="120" t="str">
        <f>IF(B606&lt;&gt;"",IF(AND(B606&gt;=_TM1,B606&lt;=_TM2,OR(TH!L606="1111",TH!M606="1111")),TH!D606,""),"")</f>
        <v/>
      </c>
      <c r="B606" s="12">
        <f t="shared" si="23"/>
        <v>11</v>
      </c>
      <c r="C606" s="105">
        <f t="shared" si="24"/>
        <v>42703</v>
      </c>
      <c r="D606" s="105" t="s">
        <v>571</v>
      </c>
      <c r="E606" s="110">
        <v>42703</v>
      </c>
      <c r="F606" s="109" t="s">
        <v>494</v>
      </c>
      <c r="G606" s="296" t="s">
        <v>770</v>
      </c>
      <c r="H606" s="4" t="s">
        <v>367</v>
      </c>
      <c r="I606" s="133"/>
      <c r="J606" s="133"/>
      <c r="K606" s="13">
        <v>559950</v>
      </c>
      <c r="L606" s="113" t="s">
        <v>251</v>
      </c>
      <c r="M606" s="402" t="s">
        <v>350</v>
      </c>
      <c r="N606" s="22" t="str">
        <f>IF(AND('331-CT'!$E$7=TH!H606,OR(L606="331",M606="331")),"331",IF(AND(OR(L606="131",M606="131"),H606='131-CT'!$E$7),"131",""))</f>
        <v>131</v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/>
      </c>
      <c r="Z606" s="563"/>
    </row>
    <row r="607" spans="1:26" ht="15.75" customHeight="1">
      <c r="A607" s="120" t="str">
        <f>IF(B607&lt;&gt;"",IF(AND(B607&gt;=_TM1,B607&lt;=_TM2,OR(TH!L607="1111",TH!M607="1111")),TH!D607,""),"")</f>
        <v>T20</v>
      </c>
      <c r="B607" s="12">
        <f t="shared" si="23"/>
        <v>11</v>
      </c>
      <c r="C607" s="105">
        <f t="shared" si="24"/>
        <v>42703</v>
      </c>
      <c r="D607" s="105" t="s">
        <v>1010</v>
      </c>
      <c r="E607" s="110">
        <v>42703</v>
      </c>
      <c r="F607" s="111" t="s">
        <v>482</v>
      </c>
      <c r="G607" s="296" t="s">
        <v>770</v>
      </c>
      <c r="H607" s="4" t="s">
        <v>367</v>
      </c>
      <c r="I607" s="133"/>
      <c r="J607" s="133"/>
      <c r="K607" s="13">
        <v>6159450</v>
      </c>
      <c r="L607" s="113" t="s">
        <v>46</v>
      </c>
      <c r="M607" s="402" t="s">
        <v>251</v>
      </c>
      <c r="N607" s="22" t="str">
        <f>IF(AND('331-CT'!$E$7=TH!H607,OR(L607="331",M607="331")),"331",IF(AND(OR(L607="131",M607="131"),H607='131-CT'!$E$7),"131",""))</f>
        <v>131</v>
      </c>
      <c r="O607" s="22" t="str">
        <f>IF(AND($B607&gt;='111'!$N$11,$B607&lt;='111'!$O$11,OR($L607=$O$7,$M607=$O$7)),"x","")</f>
        <v>x</v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/>
      </c>
      <c r="Z607" s="563"/>
    </row>
    <row r="608" spans="1:26" ht="15.75" customHeight="1">
      <c r="A608" s="120" t="str">
        <f>IF(B608&lt;&gt;"",IF(AND(B608&gt;=_TM1,B608&lt;=_TM2,OR(TH!L608="1111",TH!M608="1111")),TH!D608,""),"")</f>
        <v/>
      </c>
      <c r="B608" s="580">
        <f t="shared" si="23"/>
        <v>11</v>
      </c>
      <c r="C608" s="557">
        <f t="shared" si="24"/>
        <v>42704</v>
      </c>
      <c r="D608" s="557" t="s">
        <v>323</v>
      </c>
      <c r="E608" s="557">
        <v>42704</v>
      </c>
      <c r="F608" s="560" t="s">
        <v>819</v>
      </c>
      <c r="G608" s="576"/>
      <c r="H608" s="577"/>
      <c r="I608" s="559"/>
      <c r="J608" s="559"/>
      <c r="K608" s="562">
        <v>4390000</v>
      </c>
      <c r="L608" s="578" t="s">
        <v>82</v>
      </c>
      <c r="M608" s="578" t="s">
        <v>254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>x</v>
      </c>
      <c r="Y608" s="22" t="str">
        <f>IF(AND(B608&lt;=NKC!$N$8,B608&gt;=NKC!$M$8),"x","")</f>
        <v/>
      </c>
      <c r="Z608" s="579"/>
    </row>
    <row r="609" spans="1:26" ht="15.75" customHeight="1">
      <c r="A609" s="120" t="str">
        <f>IF(B609&lt;&gt;"",IF(AND(B609&gt;=_TM1,B609&lt;=_TM2,OR(TH!L609="1111",TH!M609="1111")),TH!D609,""),"")</f>
        <v/>
      </c>
      <c r="B609" s="580">
        <f t="shared" si="23"/>
        <v>11</v>
      </c>
      <c r="C609" s="557">
        <f t="shared" si="24"/>
        <v>42704</v>
      </c>
      <c r="D609" s="557" t="s">
        <v>323</v>
      </c>
      <c r="E609" s="557">
        <v>42704</v>
      </c>
      <c r="F609" s="560" t="s">
        <v>820</v>
      </c>
      <c r="G609" s="576"/>
      <c r="H609" s="577"/>
      <c r="I609" s="559"/>
      <c r="J609" s="559"/>
      <c r="K609" s="562">
        <v>13960000</v>
      </c>
      <c r="L609" s="578" t="s">
        <v>159</v>
      </c>
      <c r="M609" s="578" t="s">
        <v>254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/>
      </c>
      <c r="Z609" s="579"/>
    </row>
    <row r="610" spans="1:26" ht="15.75" customHeight="1">
      <c r="A610" s="120" t="str">
        <f>IF(B610&lt;&gt;"",IF(AND(B610&gt;=_TM1,B610&lt;=_TM2,OR(TH!L610="1111",TH!M610="1111")),TH!D610,""),"")</f>
        <v>C23</v>
      </c>
      <c r="B610" s="580">
        <f t="shared" si="23"/>
        <v>11</v>
      </c>
      <c r="C610" s="557">
        <f t="shared" si="24"/>
        <v>42704</v>
      </c>
      <c r="D610" s="557" t="s">
        <v>1011</v>
      </c>
      <c r="E610" s="557">
        <v>42704</v>
      </c>
      <c r="F610" s="560" t="str">
        <f>"Thanh toán tiền lương tháng "&amp;MONTH(E610)&amp;"/"&amp;YEAR(E610)</f>
        <v>Thanh toán tiền lương tháng 11/2016</v>
      </c>
      <c r="G610" s="576"/>
      <c r="H610" s="577" t="s">
        <v>794</v>
      </c>
      <c r="I610" s="559"/>
      <c r="J610" s="559"/>
      <c r="K610" s="562">
        <f>K608+K609</f>
        <v>18350000</v>
      </c>
      <c r="L610" s="578" t="s">
        <v>254</v>
      </c>
      <c r="M610" s="578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>x</v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/>
      </c>
      <c r="Z610" s="579"/>
    </row>
    <row r="611" spans="1:26" ht="15.75" customHeight="1">
      <c r="A611" s="120" t="str">
        <f>IF(B611&lt;&gt;"",IF(AND(B611&gt;=_TM1,B611&lt;=_TM2,OR(TH!L611="1111",TH!M611="1111")),TH!D611,""),"")</f>
        <v/>
      </c>
      <c r="B611" s="12">
        <f t="shared" si="23"/>
        <v>12</v>
      </c>
      <c r="C611" s="105">
        <f t="shared" si="24"/>
        <v>42705</v>
      </c>
      <c r="D611" s="105" t="s">
        <v>572</v>
      </c>
      <c r="E611" s="110">
        <v>42705</v>
      </c>
      <c r="F611" s="109" t="s">
        <v>811</v>
      </c>
      <c r="G611" s="296" t="s">
        <v>774</v>
      </c>
      <c r="H611" s="4" t="s">
        <v>812</v>
      </c>
      <c r="I611" s="133">
        <v>2400</v>
      </c>
      <c r="J611" s="133">
        <v>7500</v>
      </c>
      <c r="K611" s="13">
        <f>ROUND(I611*J611,0)</f>
        <v>18000000</v>
      </c>
      <c r="L611" s="113" t="s">
        <v>251</v>
      </c>
      <c r="M611" s="402" t="s">
        <v>168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/>
      </c>
      <c r="Z611" s="563"/>
    </row>
    <row r="612" spans="1:26" ht="15.75" customHeight="1">
      <c r="A612" s="120" t="str">
        <f>IF(B612&lt;&gt;"",IF(AND(B612&gt;=_TM1,B612&lt;=_TM2,OR(TH!L612="1111",TH!M612="1111")),TH!D612,""),"")</f>
        <v/>
      </c>
      <c r="B612" s="12">
        <f t="shared" si="23"/>
        <v>12</v>
      </c>
      <c r="C612" s="105">
        <f t="shared" si="24"/>
        <v>42705</v>
      </c>
      <c r="D612" s="105" t="s">
        <v>572</v>
      </c>
      <c r="E612" s="110">
        <v>42705</v>
      </c>
      <c r="F612" s="109" t="s">
        <v>494</v>
      </c>
      <c r="G612" s="296" t="s">
        <v>774</v>
      </c>
      <c r="H612" s="4" t="s">
        <v>812</v>
      </c>
      <c r="I612" s="133"/>
      <c r="J612" s="133"/>
      <c r="K612" s="13">
        <v>1800000</v>
      </c>
      <c r="L612" s="113" t="s">
        <v>251</v>
      </c>
      <c r="M612" s="402" t="s">
        <v>350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/>
      </c>
      <c r="Z612" s="563"/>
    </row>
    <row r="613" spans="1:26" ht="15.75" customHeight="1">
      <c r="A613" s="120" t="str">
        <f>IF(B613&lt;&gt;"",IF(AND(B613&gt;=_TM1,B613&lt;=_TM2,OR(TH!L613="1111",TH!M613="1111")),TH!D613,""),"")</f>
        <v>T21</v>
      </c>
      <c r="B613" s="12">
        <f t="shared" si="23"/>
        <v>12</v>
      </c>
      <c r="C613" s="105">
        <f t="shared" si="24"/>
        <v>42705</v>
      </c>
      <c r="D613" s="105" t="s">
        <v>1014</v>
      </c>
      <c r="E613" s="110">
        <v>42705</v>
      </c>
      <c r="F613" s="111" t="s">
        <v>482</v>
      </c>
      <c r="G613" s="296" t="s">
        <v>774</v>
      </c>
      <c r="H613" s="4" t="s">
        <v>812</v>
      </c>
      <c r="I613" s="133"/>
      <c r="J613" s="133"/>
      <c r="K613" s="13">
        <v>19800000</v>
      </c>
      <c r="L613" s="113" t="s">
        <v>46</v>
      </c>
      <c r="M613" s="402" t="s">
        <v>251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>x</v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/>
      </c>
      <c r="Z613" s="563"/>
    </row>
    <row r="614" spans="1:26" ht="15.75" customHeight="1">
      <c r="A614" s="120" t="str">
        <f>IF(B614&lt;&gt;"",IF(AND(B614&gt;=_TM1,B614&lt;=_TM2,OR(TH!L614="1111",TH!M614="1111")),TH!D614,""),"")</f>
        <v/>
      </c>
      <c r="B614" s="12">
        <f t="shared" si="23"/>
        <v>12</v>
      </c>
      <c r="C614" s="105">
        <f t="shared" si="24"/>
        <v>42706</v>
      </c>
      <c r="D614" s="105" t="s">
        <v>573</v>
      </c>
      <c r="E614" s="110">
        <v>42706</v>
      </c>
      <c r="F614" s="109" t="s">
        <v>811</v>
      </c>
      <c r="G614" s="296" t="s">
        <v>822</v>
      </c>
      <c r="H614" s="4" t="s">
        <v>812</v>
      </c>
      <c r="I614" s="133">
        <v>1600</v>
      </c>
      <c r="J614" s="133">
        <v>7500</v>
      </c>
      <c r="K614" s="13">
        <f>ROUND(I614*J614,0)</f>
        <v>12000000</v>
      </c>
      <c r="L614" s="113" t="s">
        <v>251</v>
      </c>
      <c r="M614" s="402" t="s">
        <v>168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/>
      </c>
      <c r="Z614" s="563"/>
    </row>
    <row r="615" spans="1:26" ht="15.75" customHeight="1">
      <c r="A615" s="120" t="str">
        <f>IF(B615&lt;&gt;"",IF(AND(B615&gt;=_TM1,B615&lt;=_TM2,OR(TH!L615="1111",TH!M615="1111")),TH!D615,""),"")</f>
        <v/>
      </c>
      <c r="B615" s="12">
        <f t="shared" si="23"/>
        <v>12</v>
      </c>
      <c r="C615" s="105">
        <f t="shared" si="24"/>
        <v>42706</v>
      </c>
      <c r="D615" s="105" t="s">
        <v>573</v>
      </c>
      <c r="E615" s="110">
        <v>42706</v>
      </c>
      <c r="F615" s="109" t="s">
        <v>494</v>
      </c>
      <c r="G615" s="296" t="s">
        <v>822</v>
      </c>
      <c r="H615" s="4" t="s">
        <v>812</v>
      </c>
      <c r="I615" s="133"/>
      <c r="J615" s="133"/>
      <c r="K615" s="13">
        <v>1200000</v>
      </c>
      <c r="L615" s="113" t="s">
        <v>251</v>
      </c>
      <c r="M615" s="402" t="s">
        <v>350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/>
      </c>
      <c r="Z615" s="563"/>
    </row>
    <row r="616" spans="1:26" ht="15.75" customHeight="1">
      <c r="A616" s="120" t="str">
        <f>IF(B616&lt;&gt;"",IF(AND(B616&gt;=_TM1,B616&lt;=_TM2,OR(TH!L616="1111",TH!M616="1111")),TH!D616,""),"")</f>
        <v>T22</v>
      </c>
      <c r="B616" s="12">
        <f t="shared" si="23"/>
        <v>12</v>
      </c>
      <c r="C616" s="105">
        <f t="shared" si="24"/>
        <v>42706</v>
      </c>
      <c r="D616" s="105" t="s">
        <v>1015</v>
      </c>
      <c r="E616" s="110">
        <v>42706</v>
      </c>
      <c r="F616" s="111" t="s">
        <v>482</v>
      </c>
      <c r="G616" s="296" t="s">
        <v>822</v>
      </c>
      <c r="H616" s="4" t="s">
        <v>812</v>
      </c>
      <c r="I616" s="134"/>
      <c r="J616" s="134"/>
      <c r="K616" s="13">
        <v>13200000</v>
      </c>
      <c r="L616" s="113" t="s">
        <v>46</v>
      </c>
      <c r="M616" s="402" t="s">
        <v>251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>x</v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/>
      </c>
      <c r="Z616" s="563"/>
    </row>
    <row r="617" spans="1:26" ht="15.75" customHeight="1">
      <c r="A617" s="120" t="str">
        <f>IF(B617&lt;&gt;"",IF(AND(B617&gt;=_TM1,B617&lt;=_TM2,OR(TH!L617="1111",TH!M617="1111")),TH!D617,""),"")</f>
        <v/>
      </c>
      <c r="B617" s="12">
        <f t="shared" si="23"/>
        <v>12</v>
      </c>
      <c r="C617" s="105">
        <f t="shared" si="24"/>
        <v>42707</v>
      </c>
      <c r="D617" s="105" t="s">
        <v>574</v>
      </c>
      <c r="E617" s="110">
        <v>42707</v>
      </c>
      <c r="F617" s="109" t="s">
        <v>811</v>
      </c>
      <c r="G617" s="296" t="s">
        <v>823</v>
      </c>
      <c r="H617" s="4" t="s">
        <v>812</v>
      </c>
      <c r="I617" s="133">
        <v>4000</v>
      </c>
      <c r="J617" s="133">
        <v>4500</v>
      </c>
      <c r="K617" s="13">
        <f>ROUND(I617*J617,0)</f>
        <v>18000000</v>
      </c>
      <c r="L617" s="113" t="s">
        <v>251</v>
      </c>
      <c r="M617" s="402" t="s">
        <v>168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/>
      </c>
      <c r="Z617" s="563"/>
    </row>
    <row r="618" spans="1:26" ht="15.75" customHeight="1">
      <c r="A618" s="120" t="str">
        <f>IF(B618&lt;&gt;"",IF(AND(B618&gt;=_TM1,B618&lt;=_TM2,OR(TH!L618="1111",TH!M618="1111")),TH!D618,""),"")</f>
        <v/>
      </c>
      <c r="B618" s="12">
        <f t="shared" si="23"/>
        <v>12</v>
      </c>
      <c r="C618" s="105">
        <f t="shared" si="24"/>
        <v>42707</v>
      </c>
      <c r="D618" s="105" t="s">
        <v>574</v>
      </c>
      <c r="E618" s="110">
        <v>42707</v>
      </c>
      <c r="F618" s="109" t="s">
        <v>494</v>
      </c>
      <c r="G618" s="296" t="s">
        <v>823</v>
      </c>
      <c r="H618" s="4" t="s">
        <v>812</v>
      </c>
      <c r="I618" s="133"/>
      <c r="J618" s="133"/>
      <c r="K618" s="13">
        <v>1800000</v>
      </c>
      <c r="L618" s="113" t="s">
        <v>251</v>
      </c>
      <c r="M618" s="402" t="s">
        <v>350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/>
      </c>
      <c r="Z618" s="563"/>
    </row>
    <row r="619" spans="1:26" ht="15.75" customHeight="1">
      <c r="A619" s="120" t="str">
        <f>IF(B619&lt;&gt;"",IF(AND(B619&gt;=_TM1,B619&lt;=_TM2,OR(TH!L619="1111",TH!M619="1111")),TH!D619,""),"")</f>
        <v>T23</v>
      </c>
      <c r="B619" s="12">
        <f t="shared" si="23"/>
        <v>12</v>
      </c>
      <c r="C619" s="105">
        <f t="shared" si="24"/>
        <v>42707</v>
      </c>
      <c r="D619" s="105" t="s">
        <v>1016</v>
      </c>
      <c r="E619" s="110">
        <v>42707</v>
      </c>
      <c r="F619" s="111" t="s">
        <v>482</v>
      </c>
      <c r="G619" s="296" t="s">
        <v>823</v>
      </c>
      <c r="H619" s="4" t="s">
        <v>812</v>
      </c>
      <c r="I619" s="133"/>
      <c r="J619" s="133"/>
      <c r="K619" s="13">
        <v>19800000</v>
      </c>
      <c r="L619" s="113" t="s">
        <v>46</v>
      </c>
      <c r="M619" s="402" t="s">
        <v>251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>x</v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/>
      </c>
      <c r="Z619" s="563"/>
    </row>
    <row r="620" spans="1:26" ht="15.75" customHeight="1">
      <c r="A620" s="120" t="str">
        <f>IF(B620&lt;&gt;"",IF(AND(B620&gt;=_TM1,B620&lt;=_TM2,OR(TH!L620="1111",TH!M620="1111")),TH!D620,""),"")</f>
        <v/>
      </c>
      <c r="B620" s="12">
        <f t="shared" si="23"/>
        <v>12</v>
      </c>
      <c r="C620" s="105">
        <f t="shared" si="24"/>
        <v>42708</v>
      </c>
      <c r="D620" s="105" t="s">
        <v>575</v>
      </c>
      <c r="E620" s="110">
        <v>42708</v>
      </c>
      <c r="F620" s="111" t="s">
        <v>825</v>
      </c>
      <c r="G620" s="296" t="s">
        <v>824</v>
      </c>
      <c r="H620" s="125" t="s">
        <v>681</v>
      </c>
      <c r="I620" s="133">
        <f>1532+1439+1693+1490</f>
        <v>6154</v>
      </c>
      <c r="J620" s="133">
        <v>16700</v>
      </c>
      <c r="K620" s="13">
        <f>ROUND(I620*J620,0)</f>
        <v>102771800</v>
      </c>
      <c r="L620" s="113" t="s">
        <v>251</v>
      </c>
      <c r="M620" s="402" t="s">
        <v>168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/>
      </c>
      <c r="Z620" s="563"/>
    </row>
    <row r="621" spans="1:26" ht="15.75" customHeight="1">
      <c r="A621" s="120" t="str">
        <f>IF(B621&lt;&gt;"",IF(AND(B621&gt;=_TM1,B621&lt;=_TM2,OR(TH!L621="1111",TH!M621="1111")),TH!D621,""),"")</f>
        <v/>
      </c>
      <c r="B621" s="12">
        <f t="shared" si="23"/>
        <v>12</v>
      </c>
      <c r="C621" s="105">
        <f t="shared" si="24"/>
        <v>42708</v>
      </c>
      <c r="D621" s="105" t="s">
        <v>575</v>
      </c>
      <c r="E621" s="110">
        <v>42708</v>
      </c>
      <c r="F621" s="111" t="s">
        <v>826</v>
      </c>
      <c r="G621" s="296" t="s">
        <v>824</v>
      </c>
      <c r="H621" s="125" t="s">
        <v>681</v>
      </c>
      <c r="I621" s="133">
        <v>878</v>
      </c>
      <c r="J621" s="133">
        <v>19400</v>
      </c>
      <c r="K621" s="13">
        <f>ROUND(I621*J621,0)</f>
        <v>17033200</v>
      </c>
      <c r="L621" s="113" t="s">
        <v>251</v>
      </c>
      <c r="M621" s="402" t="s">
        <v>168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/>
      </c>
      <c r="Z621" s="563"/>
    </row>
    <row r="622" spans="1:26" ht="15.75" customHeight="1">
      <c r="A622" s="120" t="str">
        <f>IF(B622&lt;&gt;"",IF(AND(B622&gt;=_TM1,B622&lt;=_TM2,OR(TH!L622="1111",TH!M622="1111")),TH!D622,""),"")</f>
        <v/>
      </c>
      <c r="B622" s="12">
        <f t="shared" si="23"/>
        <v>12</v>
      </c>
      <c r="C622" s="105">
        <f t="shared" si="24"/>
        <v>42708</v>
      </c>
      <c r="D622" s="105" t="s">
        <v>575</v>
      </c>
      <c r="E622" s="110">
        <v>42708</v>
      </c>
      <c r="F622" s="109" t="s">
        <v>494</v>
      </c>
      <c r="G622" s="296" t="s">
        <v>824</v>
      </c>
      <c r="H622" s="125" t="s">
        <v>681</v>
      </c>
      <c r="I622" s="133"/>
      <c r="J622" s="133"/>
      <c r="K622" s="13">
        <v>11980500</v>
      </c>
      <c r="L622" s="113" t="s">
        <v>251</v>
      </c>
      <c r="M622" s="402" t="s">
        <v>350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/>
      </c>
      <c r="Z622" s="563"/>
    </row>
    <row r="623" spans="1:26" ht="15.75" customHeight="1">
      <c r="A623" s="120" t="str">
        <f>IF(B623&lt;&gt;"",IF(AND(B623&gt;=_TM1,B623&lt;=_TM2,OR(TH!L623="1111",TH!M623="1111")),TH!D623,""),"")</f>
        <v>T24</v>
      </c>
      <c r="B623" s="12">
        <f t="shared" si="23"/>
        <v>12</v>
      </c>
      <c r="C623" s="105">
        <f t="shared" si="24"/>
        <v>42709</v>
      </c>
      <c r="D623" s="105" t="s">
        <v>1017</v>
      </c>
      <c r="E623" s="110">
        <v>42709</v>
      </c>
      <c r="F623" s="111" t="s">
        <v>482</v>
      </c>
      <c r="G623" s="296" t="s">
        <v>1025</v>
      </c>
      <c r="H623" s="4" t="s">
        <v>364</v>
      </c>
      <c r="I623" s="133"/>
      <c r="J623" s="133"/>
      <c r="K623" s="13">
        <f>4094640+3465000</f>
        <v>7559640</v>
      </c>
      <c r="L623" s="113" t="s">
        <v>46</v>
      </c>
      <c r="M623" s="402" t="s">
        <v>251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>x</v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/>
      </c>
      <c r="Z623" s="563"/>
    </row>
    <row r="624" spans="1:26" ht="15.75" customHeight="1">
      <c r="A624" s="120" t="str">
        <f>IF(B624&lt;&gt;"",IF(AND(B624&gt;=_TM1,B624&lt;=_TM2,OR(TH!L624="1111",TH!M624="1111")),TH!D624,""),"")</f>
        <v>T25</v>
      </c>
      <c r="B624" s="12">
        <f t="shared" si="23"/>
        <v>12</v>
      </c>
      <c r="C624" s="105">
        <f t="shared" si="24"/>
        <v>42709</v>
      </c>
      <c r="D624" s="105" t="s">
        <v>1018</v>
      </c>
      <c r="E624" s="110">
        <v>42709</v>
      </c>
      <c r="F624" s="111" t="s">
        <v>482</v>
      </c>
      <c r="G624" s="296" t="s">
        <v>804</v>
      </c>
      <c r="H624" s="4" t="s">
        <v>616</v>
      </c>
      <c r="I624" s="133"/>
      <c r="J624" s="133"/>
      <c r="K624" s="13">
        <v>4601300</v>
      </c>
      <c r="L624" s="113" t="s">
        <v>46</v>
      </c>
      <c r="M624" s="402" t="s">
        <v>251</v>
      </c>
      <c r="N624" s="22" t="str">
        <f>IF(AND('331-CT'!$E$7=TH!H624,OR(L624="331",M624="331")),"331",IF(AND(OR(L624="131",M624="131"),H624='131-CT'!$E$7),"131",""))</f>
        <v/>
      </c>
      <c r="O624" s="22" t="str">
        <f>IF(AND($B624&gt;='111'!$N$11,$B624&lt;='111'!$O$11,OR($L624=$O$7,$M624=$O$7)),"x","")</f>
        <v>x</v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/>
      </c>
      <c r="Z624" s="563"/>
    </row>
    <row r="625" spans="1:26" ht="15.75" customHeight="1">
      <c r="A625" s="120" t="str">
        <f>IF(B625&lt;&gt;"",IF(AND(B625&gt;=_TM1,B625&lt;=_TM2,OR(TH!L625="1111",TH!M625="1111")),TH!D625,""),"")</f>
        <v/>
      </c>
      <c r="B625" s="12">
        <f t="shared" si="23"/>
        <v>12</v>
      </c>
      <c r="C625" s="105">
        <f t="shared" si="24"/>
        <v>42709</v>
      </c>
      <c r="D625" s="110" t="s">
        <v>323</v>
      </c>
      <c r="E625" s="110">
        <v>42709</v>
      </c>
      <c r="F625" s="109" t="s">
        <v>974</v>
      </c>
      <c r="G625" s="298" t="s">
        <v>841</v>
      </c>
      <c r="H625" s="112" t="s">
        <v>622</v>
      </c>
      <c r="I625" s="133"/>
      <c r="J625" s="133"/>
      <c r="K625" s="13">
        <v>37000000</v>
      </c>
      <c r="L625" s="113" t="s">
        <v>82</v>
      </c>
      <c r="M625" s="113" t="s">
        <v>8</v>
      </c>
      <c r="N625" s="22" t="str">
        <f>IF(AND('331-CT'!$E$7=TH!H625,OR(L625="331",M625="331")),"331",IF(AND(OR(L625="131",M625="131"),H625='131-CT'!$E$7),"131",""))</f>
        <v>331</v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>x</v>
      </c>
      <c r="Y625" s="22" t="str">
        <f>IF(AND(B625&lt;=NKC!$N$8,B625&gt;=NKC!$M$8),"x","")</f>
        <v/>
      </c>
      <c r="Z625" s="563">
        <v>4</v>
      </c>
    </row>
    <row r="626" spans="1:26" ht="15.75" customHeight="1">
      <c r="A626" s="120" t="str">
        <f>IF(B626&lt;&gt;"",IF(AND(B626&gt;=_TM1,B626&lt;=_TM2,OR(TH!L626="1111",TH!M626="1111")),TH!D626,""),"")</f>
        <v/>
      </c>
      <c r="B626" s="12">
        <f t="shared" si="23"/>
        <v>12</v>
      </c>
      <c r="C626" s="105">
        <f t="shared" si="24"/>
        <v>42709</v>
      </c>
      <c r="D626" s="110" t="s">
        <v>323</v>
      </c>
      <c r="E626" s="110">
        <v>42709</v>
      </c>
      <c r="F626" s="109" t="s">
        <v>433</v>
      </c>
      <c r="G626" s="298" t="s">
        <v>841</v>
      </c>
      <c r="H626" s="112" t="s">
        <v>622</v>
      </c>
      <c r="I626" s="133"/>
      <c r="J626" s="133"/>
      <c r="K626" s="13">
        <v>3700000</v>
      </c>
      <c r="L626" s="113" t="s">
        <v>9</v>
      </c>
      <c r="M626" s="113" t="s">
        <v>8</v>
      </c>
      <c r="N626" s="22" t="str">
        <f>IF(AND('331-CT'!$E$7=TH!H626,OR(L626="331",M626="331")),"331",IF(AND(OR(L626="131",M626="131"),H626='131-CT'!$E$7),"131",""))</f>
        <v>331</v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/>
      </c>
      <c r="Z626" s="563">
        <v>4</v>
      </c>
    </row>
    <row r="627" spans="1:26" ht="15.75" customHeight="1">
      <c r="A627" s="120" t="str">
        <f>IF(B627&lt;&gt;"",IF(AND(B627&gt;=_TM1,B627&lt;=_TM2,OR(TH!L627="1111",TH!M627="1111")),TH!D627,""),"")</f>
        <v/>
      </c>
      <c r="B627" s="12">
        <f t="shared" si="23"/>
        <v>12</v>
      </c>
      <c r="C627" s="105">
        <f t="shared" si="24"/>
        <v>42709</v>
      </c>
      <c r="D627" s="105" t="s">
        <v>576</v>
      </c>
      <c r="E627" s="110">
        <v>42709</v>
      </c>
      <c r="F627" s="109" t="s">
        <v>811</v>
      </c>
      <c r="G627" s="296" t="s">
        <v>827</v>
      </c>
      <c r="H627" s="4" t="s">
        <v>812</v>
      </c>
      <c r="I627" s="133">
        <v>2400</v>
      </c>
      <c r="J627" s="133">
        <v>7500</v>
      </c>
      <c r="K627" s="13">
        <f>ROUND(I627*J627,0)</f>
        <v>18000000</v>
      </c>
      <c r="L627" s="113" t="s">
        <v>251</v>
      </c>
      <c r="M627" s="402" t="s">
        <v>168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/>
      </c>
      <c r="Z627" s="563"/>
    </row>
    <row r="628" spans="1:26" ht="15.75" customHeight="1">
      <c r="A628" s="120" t="str">
        <f>IF(B628&lt;&gt;"",IF(AND(B628&gt;=_TM1,B628&lt;=_TM2,OR(TH!L628="1111",TH!M628="1111")),TH!D628,""),"")</f>
        <v/>
      </c>
      <c r="B628" s="12">
        <f t="shared" si="23"/>
        <v>12</v>
      </c>
      <c r="C628" s="105">
        <f t="shared" si="24"/>
        <v>42709</v>
      </c>
      <c r="D628" s="105" t="s">
        <v>576</v>
      </c>
      <c r="E628" s="110">
        <v>42709</v>
      </c>
      <c r="F628" s="109" t="s">
        <v>494</v>
      </c>
      <c r="G628" s="296" t="s">
        <v>827</v>
      </c>
      <c r="H628" s="4" t="s">
        <v>812</v>
      </c>
      <c r="I628" s="133"/>
      <c r="J628" s="133"/>
      <c r="K628" s="13">
        <v>1800000</v>
      </c>
      <c r="L628" s="113" t="s">
        <v>251</v>
      </c>
      <c r="M628" s="402" t="s">
        <v>350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/>
      </c>
      <c r="Z628" s="563"/>
    </row>
    <row r="629" spans="1:26" ht="15.75" customHeight="1">
      <c r="A629" s="120" t="str">
        <f>IF(B629&lt;&gt;"",IF(AND(B629&gt;=_TM1,B629&lt;=_TM2,OR(TH!L629="1111",TH!M629="1111")),TH!D629,""),"")</f>
        <v>T26</v>
      </c>
      <c r="B629" s="12">
        <f t="shared" si="23"/>
        <v>12</v>
      </c>
      <c r="C629" s="105">
        <f t="shared" si="24"/>
        <v>42709</v>
      </c>
      <c r="D629" s="105" t="s">
        <v>1032</v>
      </c>
      <c r="E629" s="110">
        <v>42709</v>
      </c>
      <c r="F629" s="111" t="s">
        <v>482</v>
      </c>
      <c r="G629" s="296" t="s">
        <v>827</v>
      </c>
      <c r="H629" s="4" t="s">
        <v>812</v>
      </c>
      <c r="I629" s="134"/>
      <c r="J629" s="134"/>
      <c r="K629" s="13">
        <v>19800000</v>
      </c>
      <c r="L629" s="113" t="s">
        <v>46</v>
      </c>
      <c r="M629" s="402" t="s">
        <v>251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>x</v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/>
      </c>
      <c r="Z629" s="563"/>
    </row>
    <row r="630" spans="1:26" ht="15.75" customHeight="1">
      <c r="A630" s="120" t="str">
        <f>IF(B630&lt;&gt;"",IF(AND(B630&gt;=_TM1,B630&lt;=_TM2,OR(TH!L630="1111",TH!M630="1111")),TH!D630,""),"")</f>
        <v/>
      </c>
      <c r="B630" s="12">
        <f t="shared" si="23"/>
        <v>12</v>
      </c>
      <c r="C630" s="105">
        <f t="shared" si="24"/>
        <v>42710</v>
      </c>
      <c r="D630" s="105" t="s">
        <v>577</v>
      </c>
      <c r="E630" s="110">
        <v>42710</v>
      </c>
      <c r="F630" s="109" t="s">
        <v>811</v>
      </c>
      <c r="G630" s="296" t="s">
        <v>828</v>
      </c>
      <c r="H630" s="4" t="s">
        <v>812</v>
      </c>
      <c r="I630" s="133">
        <v>2400</v>
      </c>
      <c r="J630" s="133">
        <v>7500</v>
      </c>
      <c r="K630" s="13">
        <f>ROUND(I630*J630,0)</f>
        <v>18000000</v>
      </c>
      <c r="L630" s="113" t="s">
        <v>251</v>
      </c>
      <c r="M630" s="402" t="s">
        <v>168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/>
      </c>
      <c r="Z630" s="563"/>
    </row>
    <row r="631" spans="1:26" ht="15.75" customHeight="1">
      <c r="A631" s="120" t="str">
        <f>IF(B631&lt;&gt;"",IF(AND(B631&gt;=_TM1,B631&lt;=_TM2,OR(TH!L631="1111",TH!M631="1111")),TH!D631,""),"")</f>
        <v/>
      </c>
      <c r="B631" s="12">
        <f t="shared" si="23"/>
        <v>12</v>
      </c>
      <c r="C631" s="105">
        <f t="shared" si="24"/>
        <v>42710</v>
      </c>
      <c r="D631" s="105" t="s">
        <v>577</v>
      </c>
      <c r="E631" s="110">
        <v>42710</v>
      </c>
      <c r="F631" s="109" t="s">
        <v>494</v>
      </c>
      <c r="G631" s="296" t="s">
        <v>828</v>
      </c>
      <c r="H631" s="4" t="s">
        <v>812</v>
      </c>
      <c r="I631" s="133"/>
      <c r="J631" s="133"/>
      <c r="K631" s="13">
        <v>1800000</v>
      </c>
      <c r="L631" s="113" t="s">
        <v>251</v>
      </c>
      <c r="M631" s="402" t="s">
        <v>350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/>
      </c>
      <c r="Z631" s="563"/>
    </row>
    <row r="632" spans="1:26" ht="15.75" customHeight="1">
      <c r="A632" s="120" t="str">
        <f>IF(B632&lt;&gt;"",IF(AND(B632&gt;=_TM1,B632&lt;=_TM2,OR(TH!L632="1111",TH!M632="1111")),TH!D632,""),"")</f>
        <v>T27</v>
      </c>
      <c r="B632" s="12">
        <f t="shared" si="23"/>
        <v>12</v>
      </c>
      <c r="C632" s="105">
        <f t="shared" si="24"/>
        <v>42710</v>
      </c>
      <c r="D632" s="105" t="s">
        <v>1033</v>
      </c>
      <c r="E632" s="110">
        <v>42710</v>
      </c>
      <c r="F632" s="111" t="s">
        <v>482</v>
      </c>
      <c r="G632" s="296" t="s">
        <v>828</v>
      </c>
      <c r="H632" s="4" t="s">
        <v>812</v>
      </c>
      <c r="I632" s="134"/>
      <c r="J632" s="134"/>
      <c r="K632" s="13">
        <v>19800000</v>
      </c>
      <c r="L632" s="113" t="s">
        <v>46</v>
      </c>
      <c r="M632" s="402" t="s">
        <v>251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>x</v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/>
      </c>
      <c r="Z632" s="563"/>
    </row>
    <row r="633" spans="1:26" ht="15.75" customHeight="1">
      <c r="A633" s="120" t="str">
        <f>IF(B633&lt;&gt;"",IF(AND(B633&gt;=_TM1,B633&lt;=_TM2,OR(TH!L633="1111",TH!M633="1111")),TH!D633,""),"")</f>
        <v/>
      </c>
      <c r="B633" s="12">
        <f t="shared" si="23"/>
        <v>12</v>
      </c>
      <c r="C633" s="105">
        <f t="shared" si="24"/>
        <v>42712</v>
      </c>
      <c r="D633" s="110" t="s">
        <v>947</v>
      </c>
      <c r="E633" s="105">
        <v>42712</v>
      </c>
      <c r="F633" s="109" t="s">
        <v>442</v>
      </c>
      <c r="G633" s="296" t="s">
        <v>941</v>
      </c>
      <c r="H633" s="112" t="s">
        <v>440</v>
      </c>
      <c r="I633" s="133">
        <v>19820</v>
      </c>
      <c r="J633" s="133">
        <v>800</v>
      </c>
      <c r="K633" s="13">
        <f>ROUND(I633*J633,0)</f>
        <v>15856000</v>
      </c>
      <c r="L633" s="113" t="s">
        <v>155</v>
      </c>
      <c r="M633" s="113" t="s">
        <v>8</v>
      </c>
      <c r="N633" s="22" t="str">
        <f>IF(AND('331-CT'!$E$7=TH!H633,OR(L633="331",M633="331")),"331",IF(AND(OR(L633="131",M633="131"),H633='131-CT'!$E$7),"131",""))</f>
        <v/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/>
      </c>
      <c r="Z633" s="563">
        <v>4</v>
      </c>
    </row>
    <row r="634" spans="1:26" ht="15.75" customHeight="1">
      <c r="A634" s="120" t="str">
        <f>IF(B634&lt;&gt;"",IF(AND(B634&gt;=_TM1,B634&lt;=_TM2,OR(TH!L634="1111",TH!M634="1111")),TH!D634,""),"")</f>
        <v/>
      </c>
      <c r="B634" s="12">
        <f t="shared" si="23"/>
        <v>12</v>
      </c>
      <c r="C634" s="105">
        <f t="shared" si="24"/>
        <v>42712</v>
      </c>
      <c r="D634" s="110" t="s">
        <v>947</v>
      </c>
      <c r="E634" s="105">
        <v>42712</v>
      </c>
      <c r="F634" s="109" t="s">
        <v>443</v>
      </c>
      <c r="G634" s="296" t="s">
        <v>941</v>
      </c>
      <c r="H634" s="112" t="s">
        <v>440</v>
      </c>
      <c r="I634" s="133"/>
      <c r="J634" s="133"/>
      <c r="K634" s="401">
        <v>1585600</v>
      </c>
      <c r="L634" s="113" t="s">
        <v>9</v>
      </c>
      <c r="M634" s="113" t="s">
        <v>8</v>
      </c>
      <c r="N634" s="22" t="str">
        <f>IF(AND('331-CT'!$E$7=TH!H634,OR(L634="331",M634="331")),"331",IF(AND(OR(L634="131",M634="131"),H634='131-CT'!$E$7),"131",""))</f>
        <v/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/>
      </c>
      <c r="Z634" s="563">
        <v>4</v>
      </c>
    </row>
    <row r="635" spans="1:26" ht="15.75" customHeight="1">
      <c r="A635" s="120" t="str">
        <f>IF(B635&lt;&gt;"",IF(AND(B635&gt;=_TM1,B635&lt;=_TM2,OR(TH!L635="1111",TH!M635="1111")),TH!D635,""),"")</f>
        <v>C24</v>
      </c>
      <c r="B635" s="12">
        <f t="shared" si="23"/>
        <v>12</v>
      </c>
      <c r="C635" s="105">
        <f t="shared" si="24"/>
        <v>42712</v>
      </c>
      <c r="D635" s="110" t="s">
        <v>1012</v>
      </c>
      <c r="E635" s="105">
        <v>42712</v>
      </c>
      <c r="F635" s="109" t="s">
        <v>463</v>
      </c>
      <c r="G635" s="296" t="s">
        <v>941</v>
      </c>
      <c r="H635" s="112" t="s">
        <v>440</v>
      </c>
      <c r="I635" s="133"/>
      <c r="J635" s="133"/>
      <c r="K635" s="401">
        <v>17441600</v>
      </c>
      <c r="L635" s="113" t="s">
        <v>8</v>
      </c>
      <c r="M635" s="113" t="s">
        <v>46</v>
      </c>
      <c r="N635" s="22" t="str">
        <f>IF(AND('331-CT'!$E$7=TH!H635,OR(L635="331",M635="331")),"331",IF(AND(OR(L635="131",M635="131"),H635='131-CT'!$E$7),"131",""))</f>
        <v/>
      </c>
      <c r="O635" s="22" t="str">
        <f>IF(AND($B635&gt;='111'!$N$11,$B635&lt;='111'!$O$11,OR($L635=$O$7,$M635=$O$7)),"x","")</f>
        <v>x</v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/>
      </c>
      <c r="Z635" s="563"/>
    </row>
    <row r="636" spans="1:26" ht="15.75" customHeight="1">
      <c r="A636" s="120" t="str">
        <f>IF(B636&lt;&gt;"",IF(AND(B636&gt;=_TM1,B636&lt;=_TM2,OR(TH!L636="1111",TH!M636="1111")),TH!D636,""),"")</f>
        <v/>
      </c>
      <c r="B636" s="12">
        <f t="shared" si="23"/>
        <v>12</v>
      </c>
      <c r="C636" s="105">
        <f t="shared" si="24"/>
        <v>42713</v>
      </c>
      <c r="D636" s="105" t="s">
        <v>467</v>
      </c>
      <c r="E636" s="110">
        <v>42713</v>
      </c>
      <c r="F636" s="109" t="s">
        <v>482</v>
      </c>
      <c r="G636" s="111" t="s">
        <v>472</v>
      </c>
      <c r="H636" s="4" t="s">
        <v>829</v>
      </c>
      <c r="I636" s="133"/>
      <c r="J636" s="135"/>
      <c r="K636" s="13">
        <v>15576000</v>
      </c>
      <c r="L636" s="113" t="s">
        <v>24</v>
      </c>
      <c r="M636" s="402" t="s">
        <v>251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/>
      </c>
      <c r="Z636" s="563"/>
    </row>
    <row r="637" spans="1:26" ht="15.75" customHeight="1">
      <c r="A637" s="120" t="str">
        <f>IF(B637&lt;&gt;"",IF(AND(B637&gt;=_TM1,B637&lt;=_TM2,OR(TH!L637="1111",TH!M637="1111")),TH!D637,""),"")</f>
        <v/>
      </c>
      <c r="B637" s="12">
        <f t="shared" si="23"/>
        <v>12</v>
      </c>
      <c r="C637" s="105">
        <f t="shared" si="24"/>
        <v>42713</v>
      </c>
      <c r="D637" s="105" t="s">
        <v>578</v>
      </c>
      <c r="E637" s="110">
        <v>42713</v>
      </c>
      <c r="F637" s="109" t="s">
        <v>831</v>
      </c>
      <c r="G637" s="296" t="s">
        <v>830</v>
      </c>
      <c r="H637" s="125" t="s">
        <v>829</v>
      </c>
      <c r="I637" s="133">
        <v>400</v>
      </c>
      <c r="J637" s="133">
        <v>13400</v>
      </c>
      <c r="K637" s="13">
        <f>ROUND(I637*J637,0)</f>
        <v>5360000</v>
      </c>
      <c r="L637" s="113" t="s">
        <v>251</v>
      </c>
      <c r="M637" s="402" t="s">
        <v>168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/>
      </c>
      <c r="Z637" s="563"/>
    </row>
    <row r="638" spans="1:26" ht="15.75" customHeight="1">
      <c r="A638" s="120" t="str">
        <f>IF(B638&lt;&gt;"",IF(AND(B638&gt;=_TM1,B638&lt;=_TM2,OR(TH!L638="1111",TH!M638="1111")),TH!D638,""),"")</f>
        <v/>
      </c>
      <c r="B638" s="12">
        <f t="shared" si="23"/>
        <v>12</v>
      </c>
      <c r="C638" s="105">
        <f t="shared" si="24"/>
        <v>42713</v>
      </c>
      <c r="D638" s="105" t="s">
        <v>578</v>
      </c>
      <c r="E638" s="110">
        <v>42713</v>
      </c>
      <c r="F638" s="109" t="s">
        <v>832</v>
      </c>
      <c r="G638" s="296" t="s">
        <v>830</v>
      </c>
      <c r="H638" s="125" t="s">
        <v>829</v>
      </c>
      <c r="I638" s="133">
        <v>4000</v>
      </c>
      <c r="J638" s="133">
        <v>2200</v>
      </c>
      <c r="K638" s="13">
        <f>ROUND(I638*J638,0)</f>
        <v>8800000</v>
      </c>
      <c r="L638" s="113" t="s">
        <v>251</v>
      </c>
      <c r="M638" s="402" t="s">
        <v>168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/>
      </c>
      <c r="Z638" s="563"/>
    </row>
    <row r="639" spans="1:26" ht="15.75" customHeight="1">
      <c r="A639" s="120" t="str">
        <f>IF(B639&lt;&gt;"",IF(AND(B639&gt;=_TM1,B639&lt;=_TM2,OR(TH!L639="1111",TH!M639="1111")),TH!D639,""),"")</f>
        <v/>
      </c>
      <c r="B639" s="12">
        <f t="shared" si="23"/>
        <v>12</v>
      </c>
      <c r="C639" s="105">
        <f t="shared" si="24"/>
        <v>42713</v>
      </c>
      <c r="D639" s="105" t="s">
        <v>578</v>
      </c>
      <c r="E639" s="110">
        <v>42713</v>
      </c>
      <c r="F639" s="109" t="s">
        <v>494</v>
      </c>
      <c r="G639" s="296" t="s">
        <v>830</v>
      </c>
      <c r="H639" s="125" t="s">
        <v>829</v>
      </c>
      <c r="I639" s="134"/>
      <c r="J639" s="134"/>
      <c r="K639" s="13">
        <v>1416000</v>
      </c>
      <c r="L639" s="113" t="s">
        <v>251</v>
      </c>
      <c r="M639" s="402" t="s">
        <v>350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/>
      </c>
      <c r="Z639" s="563"/>
    </row>
    <row r="640" spans="1:26" ht="15.75" customHeight="1">
      <c r="A640" s="120" t="str">
        <f>IF(B640&lt;&gt;"",IF(AND(B640&gt;=_TM1,B640&lt;=_TM2,OR(TH!L640="1111",TH!M640="1111")),TH!D640,""),"")</f>
        <v/>
      </c>
      <c r="B640" s="12">
        <f t="shared" si="23"/>
        <v>12</v>
      </c>
      <c r="C640" s="105">
        <f t="shared" si="24"/>
        <v>42713</v>
      </c>
      <c r="D640" s="105" t="s">
        <v>579</v>
      </c>
      <c r="E640" s="110">
        <v>42713</v>
      </c>
      <c r="F640" s="111" t="s">
        <v>826</v>
      </c>
      <c r="G640" s="296" t="s">
        <v>439</v>
      </c>
      <c r="H640" s="125" t="s">
        <v>681</v>
      </c>
      <c r="I640" s="133">
        <v>5240</v>
      </c>
      <c r="J640" s="133">
        <v>13800</v>
      </c>
      <c r="K640" s="13">
        <f>ROUND(I640*J640,0)</f>
        <v>72312000</v>
      </c>
      <c r="L640" s="113" t="s">
        <v>251</v>
      </c>
      <c r="M640" s="402" t="s">
        <v>168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/>
      </c>
      <c r="Z640" s="563"/>
    </row>
    <row r="641" spans="1:26" ht="15.75" customHeight="1">
      <c r="A641" s="120" t="str">
        <f>IF(B641&lt;&gt;"",IF(AND(B641&gt;=_TM1,B641&lt;=_TM2,OR(TH!L641="1111",TH!M641="1111")),TH!D641,""),"")</f>
        <v/>
      </c>
      <c r="B641" s="12">
        <f t="shared" si="23"/>
        <v>12</v>
      </c>
      <c r="C641" s="105">
        <f t="shared" si="24"/>
        <v>42713</v>
      </c>
      <c r="D641" s="105" t="s">
        <v>579</v>
      </c>
      <c r="E641" s="110">
        <v>42713</v>
      </c>
      <c r="F641" s="109" t="s">
        <v>494</v>
      </c>
      <c r="G641" s="296" t="s">
        <v>439</v>
      </c>
      <c r="H641" s="125" t="s">
        <v>681</v>
      </c>
      <c r="I641" s="133"/>
      <c r="J641" s="133"/>
      <c r="K641" s="13">
        <v>7231200</v>
      </c>
      <c r="L641" s="113" t="s">
        <v>251</v>
      </c>
      <c r="M641" s="402" t="s">
        <v>350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/>
      </c>
      <c r="Z641" s="563"/>
    </row>
    <row r="642" spans="1:26" ht="15.75" customHeight="1">
      <c r="A642" s="120" t="str">
        <f>IF(B642&lt;&gt;"",IF(AND(B642&gt;=_TM1,B642&lt;=_TM2,OR(TH!L642="1111",TH!M642="1111")),TH!D642,""),"")</f>
        <v/>
      </c>
      <c r="B642" s="12">
        <f t="shared" si="23"/>
        <v>12</v>
      </c>
      <c r="C642" s="105">
        <f t="shared" si="24"/>
        <v>42713</v>
      </c>
      <c r="D642" s="105" t="s">
        <v>580</v>
      </c>
      <c r="E642" s="110">
        <v>42713</v>
      </c>
      <c r="F642" s="111" t="s">
        <v>835</v>
      </c>
      <c r="G642" s="296" t="s">
        <v>834</v>
      </c>
      <c r="H642" s="125" t="s">
        <v>833</v>
      </c>
      <c r="I642" s="133">
        <v>91</v>
      </c>
      <c r="J642" s="133">
        <v>27000</v>
      </c>
      <c r="K642" s="13">
        <f>ROUND(I642*J642,0)</f>
        <v>2457000</v>
      </c>
      <c r="L642" s="113" t="s">
        <v>251</v>
      </c>
      <c r="M642" s="402" t="s">
        <v>168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/>
      </c>
      <c r="Z642" s="563"/>
    </row>
    <row r="643" spans="1:26" ht="15.75" customHeight="1">
      <c r="A643" s="120" t="str">
        <f>IF(B643&lt;&gt;"",IF(AND(B643&gt;=_TM1,B643&lt;=_TM2,OR(TH!L643="1111",TH!M643="1111")),TH!D643,""),"")</f>
        <v/>
      </c>
      <c r="B643" s="12">
        <f t="shared" si="23"/>
        <v>12</v>
      </c>
      <c r="C643" s="105">
        <f t="shared" si="24"/>
        <v>42713</v>
      </c>
      <c r="D643" s="105" t="s">
        <v>580</v>
      </c>
      <c r="E643" s="110">
        <v>42713</v>
      </c>
      <c r="F643" s="111" t="s">
        <v>836</v>
      </c>
      <c r="G643" s="296" t="s">
        <v>834</v>
      </c>
      <c r="H643" s="125" t="s">
        <v>833</v>
      </c>
      <c r="I643" s="133">
        <v>300</v>
      </c>
      <c r="J643" s="133">
        <v>6700</v>
      </c>
      <c r="K643" s="13">
        <f>ROUND(I643*J643,0)</f>
        <v>2010000</v>
      </c>
      <c r="L643" s="113" t="s">
        <v>251</v>
      </c>
      <c r="M643" s="402" t="s">
        <v>168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/>
      </c>
      <c r="Z643" s="563"/>
    </row>
    <row r="644" spans="1:26" ht="15.75" customHeight="1">
      <c r="A644" s="120" t="str">
        <f>IF(B644&lt;&gt;"",IF(AND(B644&gt;=_TM1,B644&lt;=_TM2,OR(TH!L644="1111",TH!M644="1111")),TH!D644,""),"")</f>
        <v/>
      </c>
      <c r="B644" s="12">
        <f t="shared" si="23"/>
        <v>12</v>
      </c>
      <c r="C644" s="105">
        <f t="shared" si="24"/>
        <v>42713</v>
      </c>
      <c r="D644" s="105" t="s">
        <v>580</v>
      </c>
      <c r="E644" s="110">
        <v>42713</v>
      </c>
      <c r="F644" s="109" t="s">
        <v>494</v>
      </c>
      <c r="G644" s="296" t="s">
        <v>834</v>
      </c>
      <c r="H644" s="125" t="s">
        <v>833</v>
      </c>
      <c r="I644" s="133"/>
      <c r="J644" s="133"/>
      <c r="K644" s="13">
        <v>446700</v>
      </c>
      <c r="L644" s="113" t="s">
        <v>251</v>
      </c>
      <c r="M644" s="402" t="s">
        <v>350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/>
      </c>
      <c r="Z644" s="563"/>
    </row>
    <row r="645" spans="1:26" ht="15.75" customHeight="1">
      <c r="A645" s="120" t="str">
        <f>IF(B645&lt;&gt;"",IF(AND(B645&gt;=_TM1,B645&lt;=_TM2,OR(TH!L645="1111",TH!M645="1111")),TH!D645,""),"")</f>
        <v/>
      </c>
      <c r="B645" s="12">
        <f t="shared" si="23"/>
        <v>12</v>
      </c>
      <c r="C645" s="105">
        <f t="shared" si="24"/>
        <v>42713</v>
      </c>
      <c r="D645" s="105" t="s">
        <v>581</v>
      </c>
      <c r="E645" s="110">
        <v>42713</v>
      </c>
      <c r="F645" s="109" t="s">
        <v>811</v>
      </c>
      <c r="G645" s="296" t="s">
        <v>837</v>
      </c>
      <c r="H645" s="4" t="s">
        <v>812</v>
      </c>
      <c r="I645" s="133">
        <v>2400</v>
      </c>
      <c r="J645" s="133">
        <v>7500</v>
      </c>
      <c r="K645" s="13">
        <f>ROUND(I645*J645,0)</f>
        <v>18000000</v>
      </c>
      <c r="L645" s="113" t="s">
        <v>251</v>
      </c>
      <c r="M645" s="402" t="s">
        <v>168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/>
      </c>
      <c r="Z645" s="563"/>
    </row>
    <row r="646" spans="1:26" ht="15.75" customHeight="1">
      <c r="A646" s="120" t="str">
        <f>IF(B646&lt;&gt;"",IF(AND(B646&gt;=_TM1,B646&lt;=_TM2,OR(TH!L646="1111",TH!M646="1111")),TH!D646,""),"")</f>
        <v/>
      </c>
      <c r="B646" s="12">
        <f t="shared" si="23"/>
        <v>12</v>
      </c>
      <c r="C646" s="105">
        <f t="shared" si="24"/>
        <v>42713</v>
      </c>
      <c r="D646" s="105" t="s">
        <v>581</v>
      </c>
      <c r="E646" s="110">
        <v>42713</v>
      </c>
      <c r="F646" s="109" t="s">
        <v>494</v>
      </c>
      <c r="G646" s="296" t="s">
        <v>837</v>
      </c>
      <c r="H646" s="4" t="s">
        <v>812</v>
      </c>
      <c r="I646" s="133"/>
      <c r="J646" s="133"/>
      <c r="K646" s="13">
        <v>1800000</v>
      </c>
      <c r="L646" s="113" t="s">
        <v>251</v>
      </c>
      <c r="M646" s="402" t="s">
        <v>350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/>
      </c>
      <c r="Z646" s="563"/>
    </row>
    <row r="647" spans="1:26" ht="15.75" customHeight="1">
      <c r="A647" s="120" t="str">
        <f>IF(B647&lt;&gt;"",IF(AND(B647&gt;=_TM1,B647&lt;=_TM2,OR(TH!L647="1111",TH!M647="1111")),TH!D647,""),"")</f>
        <v>T28</v>
      </c>
      <c r="B647" s="12">
        <f t="shared" si="23"/>
        <v>12</v>
      </c>
      <c r="C647" s="105">
        <f t="shared" si="24"/>
        <v>42713</v>
      </c>
      <c r="D647" s="105" t="s">
        <v>1034</v>
      </c>
      <c r="E647" s="110">
        <v>42713</v>
      </c>
      <c r="F647" s="111" t="s">
        <v>482</v>
      </c>
      <c r="G647" s="296" t="s">
        <v>837</v>
      </c>
      <c r="H647" s="4" t="s">
        <v>812</v>
      </c>
      <c r="I647" s="134"/>
      <c r="J647" s="134"/>
      <c r="K647" s="13">
        <v>19800000</v>
      </c>
      <c r="L647" s="113" t="s">
        <v>46</v>
      </c>
      <c r="M647" s="402" t="s">
        <v>251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>x</v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/>
      </c>
      <c r="Z647" s="563"/>
    </row>
    <row r="648" spans="1:26" ht="15.75" customHeight="1">
      <c r="A648" s="120" t="str">
        <f>IF(B648&lt;&gt;"",IF(AND(B648&gt;=_TM1,B648&lt;=_TM2,OR(TH!L648="1111",TH!M648="1111")),TH!D648,""),"")</f>
        <v/>
      </c>
      <c r="B648" s="12">
        <f t="shared" si="23"/>
        <v>12</v>
      </c>
      <c r="C648" s="105">
        <f t="shared" si="24"/>
        <v>42714</v>
      </c>
      <c r="D648" s="105" t="s">
        <v>582</v>
      </c>
      <c r="E648" s="110">
        <v>42714</v>
      </c>
      <c r="F648" s="109" t="s">
        <v>811</v>
      </c>
      <c r="G648" s="296" t="s">
        <v>838</v>
      </c>
      <c r="H648" s="4" t="s">
        <v>812</v>
      </c>
      <c r="I648" s="133">
        <v>2400</v>
      </c>
      <c r="J648" s="133">
        <v>7500</v>
      </c>
      <c r="K648" s="13">
        <f>ROUND(I648*J648,0)</f>
        <v>18000000</v>
      </c>
      <c r="L648" s="113" t="s">
        <v>251</v>
      </c>
      <c r="M648" s="402" t="s">
        <v>168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/>
      </c>
      <c r="Z648" s="563"/>
    </row>
    <row r="649" spans="1:26" ht="15.75" customHeight="1">
      <c r="A649" s="120" t="str">
        <f>IF(B649&lt;&gt;"",IF(AND(B649&gt;=_TM1,B649&lt;=_TM2,OR(TH!L649="1111",TH!M649="1111")),TH!D649,""),"")</f>
        <v/>
      </c>
      <c r="B649" s="12">
        <f t="shared" si="23"/>
        <v>12</v>
      </c>
      <c r="C649" s="105">
        <f t="shared" si="24"/>
        <v>42714</v>
      </c>
      <c r="D649" s="105" t="s">
        <v>582</v>
      </c>
      <c r="E649" s="110">
        <v>42714</v>
      </c>
      <c r="F649" s="109" t="s">
        <v>494</v>
      </c>
      <c r="G649" s="296" t="s">
        <v>838</v>
      </c>
      <c r="H649" s="4" t="s">
        <v>812</v>
      </c>
      <c r="I649" s="133"/>
      <c r="J649" s="133"/>
      <c r="K649" s="13">
        <v>1800000</v>
      </c>
      <c r="L649" s="113" t="s">
        <v>251</v>
      </c>
      <c r="M649" s="402" t="s">
        <v>350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/>
      </c>
      <c r="Z649" s="563"/>
    </row>
    <row r="650" spans="1:26" ht="15.75" customHeight="1">
      <c r="A650" s="120" t="str">
        <f>IF(B650&lt;&gt;"",IF(AND(B650&gt;=_TM1,B650&lt;=_TM2,OR(TH!L650="1111",TH!M650="1111")),TH!D650,""),"")</f>
        <v>T29</v>
      </c>
      <c r="B650" s="12">
        <f t="shared" si="23"/>
        <v>12</v>
      </c>
      <c r="C650" s="105">
        <f t="shared" si="24"/>
        <v>42714</v>
      </c>
      <c r="D650" s="105" t="s">
        <v>1035</v>
      </c>
      <c r="E650" s="110">
        <v>42714</v>
      </c>
      <c r="F650" s="111" t="s">
        <v>482</v>
      </c>
      <c r="G650" s="296" t="s">
        <v>838</v>
      </c>
      <c r="H650" s="4" t="s">
        <v>812</v>
      </c>
      <c r="I650" s="134"/>
      <c r="J650" s="134"/>
      <c r="K650" s="13">
        <v>19800000</v>
      </c>
      <c r="L650" s="113" t="s">
        <v>46</v>
      </c>
      <c r="M650" s="402" t="s">
        <v>251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>x</v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/>
      </c>
      <c r="Z650" s="563"/>
    </row>
    <row r="651" spans="1:26" ht="15.75" customHeight="1">
      <c r="A651" s="120" t="str">
        <f>IF(B651&lt;&gt;"",IF(AND(B651&gt;=_TM1,B651&lt;=_TM2,OR(TH!L651="1111",TH!M651="1111")),TH!D651,""),"")</f>
        <v/>
      </c>
      <c r="B651" s="12">
        <f t="shared" si="23"/>
        <v>12</v>
      </c>
      <c r="C651" s="105">
        <f t="shared" si="24"/>
        <v>42715</v>
      </c>
      <c r="D651" s="105" t="s">
        <v>583</v>
      </c>
      <c r="E651" s="110">
        <v>42715</v>
      </c>
      <c r="F651" s="109" t="s">
        <v>811</v>
      </c>
      <c r="G651" s="296" t="s">
        <v>839</v>
      </c>
      <c r="H651" s="4" t="s">
        <v>812</v>
      </c>
      <c r="I651" s="133">
        <v>2400</v>
      </c>
      <c r="J651" s="133">
        <v>7500</v>
      </c>
      <c r="K651" s="13">
        <f>ROUND(I651*J651,0)</f>
        <v>18000000</v>
      </c>
      <c r="L651" s="113" t="s">
        <v>251</v>
      </c>
      <c r="M651" s="402" t="s">
        <v>168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/>
      </c>
      <c r="Z651" s="563"/>
    </row>
    <row r="652" spans="1:26" ht="15.75" customHeight="1">
      <c r="A652" s="120" t="str">
        <f>IF(B652&lt;&gt;"",IF(AND(B652&gt;=_TM1,B652&lt;=_TM2,OR(TH!L652="1111",TH!M652="1111")),TH!D652,""),"")</f>
        <v/>
      </c>
      <c r="B652" s="12">
        <f t="shared" si="23"/>
        <v>12</v>
      </c>
      <c r="C652" s="105">
        <f t="shared" si="24"/>
        <v>42715</v>
      </c>
      <c r="D652" s="105" t="s">
        <v>583</v>
      </c>
      <c r="E652" s="110">
        <v>42715</v>
      </c>
      <c r="F652" s="109" t="s">
        <v>494</v>
      </c>
      <c r="G652" s="296" t="s">
        <v>839</v>
      </c>
      <c r="H652" s="4" t="s">
        <v>812</v>
      </c>
      <c r="I652" s="133"/>
      <c r="J652" s="133"/>
      <c r="K652" s="13">
        <v>1800000</v>
      </c>
      <c r="L652" s="113" t="s">
        <v>251</v>
      </c>
      <c r="M652" s="402" t="s">
        <v>350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/>
      </c>
      <c r="Z652" s="563"/>
    </row>
    <row r="653" spans="1:26" ht="15.75" customHeight="1">
      <c r="A653" s="120" t="str">
        <f>IF(B653&lt;&gt;"",IF(AND(B653&gt;=_TM1,B653&lt;=_TM2,OR(TH!L653="1111",TH!M653="1111")),TH!D653,""),"")</f>
        <v>T30</v>
      </c>
      <c r="B653" s="12">
        <f t="shared" si="23"/>
        <v>12</v>
      </c>
      <c r="C653" s="105">
        <f t="shared" si="24"/>
        <v>42715</v>
      </c>
      <c r="D653" s="105" t="s">
        <v>1036</v>
      </c>
      <c r="E653" s="110">
        <v>42715</v>
      </c>
      <c r="F653" s="111" t="s">
        <v>482</v>
      </c>
      <c r="G653" s="296" t="s">
        <v>839</v>
      </c>
      <c r="H653" s="4" t="s">
        <v>812</v>
      </c>
      <c r="I653" s="134"/>
      <c r="J653" s="134"/>
      <c r="K653" s="13">
        <v>19800000</v>
      </c>
      <c r="L653" s="113" t="s">
        <v>46</v>
      </c>
      <c r="M653" s="402" t="s">
        <v>251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>x</v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/>
      </c>
      <c r="Z653" s="563"/>
    </row>
    <row r="654" spans="1:26" ht="15.75" customHeight="1">
      <c r="A654" s="120" t="str">
        <f>IF(B654&lt;&gt;"",IF(AND(B654&gt;=_TM1,B654&lt;=_TM2,OR(TH!L654="1111",TH!M654="1111")),TH!D654,""),"")</f>
        <v>C25</v>
      </c>
      <c r="B654" s="12">
        <f t="shared" si="23"/>
        <v>12</v>
      </c>
      <c r="C654" s="105">
        <f t="shared" si="24"/>
        <v>42716</v>
      </c>
      <c r="D654" s="105" t="s">
        <v>1013</v>
      </c>
      <c r="E654" s="110">
        <v>42716</v>
      </c>
      <c r="F654" s="109" t="s">
        <v>469</v>
      </c>
      <c r="G654" s="111" t="s">
        <v>472</v>
      </c>
      <c r="H654" s="112" t="s">
        <v>486</v>
      </c>
      <c r="I654" s="133"/>
      <c r="J654" s="135"/>
      <c r="K654" s="13">
        <v>4500000</v>
      </c>
      <c r="L654" s="113" t="s">
        <v>24</v>
      </c>
      <c r="M654" s="402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>x</v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/>
      </c>
      <c r="Z654" s="563"/>
    </row>
    <row r="655" spans="1:26" ht="15.75" customHeight="1">
      <c r="A655" s="120" t="str">
        <f>IF(B655&lt;&gt;"",IF(AND(B655&gt;=_TM1,B655&lt;=_TM2,OR(TH!L655="1111",TH!M655="1111")),TH!D655,""),"")</f>
        <v/>
      </c>
      <c r="B655" s="12">
        <f t="shared" si="23"/>
        <v>12</v>
      </c>
      <c r="C655" s="105">
        <f t="shared" si="24"/>
        <v>42716</v>
      </c>
      <c r="D655" s="105" t="s">
        <v>468</v>
      </c>
      <c r="E655" s="110">
        <v>42716</v>
      </c>
      <c r="F655" s="111" t="s">
        <v>463</v>
      </c>
      <c r="G655" s="111" t="s">
        <v>472</v>
      </c>
      <c r="H655" s="598" t="s">
        <v>1075</v>
      </c>
      <c r="I655" s="133"/>
      <c r="J655" s="135"/>
      <c r="K655" s="13">
        <v>20000000</v>
      </c>
      <c r="L655" s="113" t="s">
        <v>8</v>
      </c>
      <c r="M655" s="402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/>
      </c>
      <c r="Z655" s="563"/>
    </row>
    <row r="656" spans="1:26" ht="15.75" customHeight="1">
      <c r="A656" s="120" t="str">
        <f>IF(B656&lt;&gt;"",IF(AND(B656&gt;=_TM1,B656&lt;=_TM2,OR(TH!L656="1111",TH!M656="1111")),TH!D656,""),"")</f>
        <v/>
      </c>
      <c r="B656" s="12">
        <f t="shared" si="23"/>
        <v>12</v>
      </c>
      <c r="C656" s="105">
        <f t="shared" si="24"/>
        <v>42716</v>
      </c>
      <c r="D656" s="105" t="s">
        <v>468</v>
      </c>
      <c r="E656" s="110">
        <v>42716</v>
      </c>
      <c r="F656" s="111" t="s">
        <v>484</v>
      </c>
      <c r="G656" s="111" t="s">
        <v>472</v>
      </c>
      <c r="H656" s="112"/>
      <c r="I656" s="133"/>
      <c r="J656" s="135"/>
      <c r="K656" s="13">
        <v>20000</v>
      </c>
      <c r="L656" s="113" t="s">
        <v>82</v>
      </c>
      <c r="M656" s="402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>x</v>
      </c>
      <c r="Y656" s="22" t="str">
        <f>IF(AND(B656&lt;=NKC!$N$8,B656&gt;=NKC!$M$8),"x","")</f>
        <v/>
      </c>
      <c r="Z656" s="563">
        <v>4</v>
      </c>
    </row>
    <row r="657" spans="1:26" ht="15.75" customHeight="1">
      <c r="A657" s="120" t="str">
        <f>IF(B657&lt;&gt;"",IF(AND(B657&gt;=_TM1,B657&lt;=_TM2,OR(TH!L657="1111",TH!M657="1111")),TH!D657,""),"")</f>
        <v/>
      </c>
      <c r="B657" s="12">
        <f t="shared" ref="B657:B720" si="25">IF(C657&lt;&gt;"",MONTH(C657),"")</f>
        <v>12</v>
      </c>
      <c r="C657" s="105">
        <f t="shared" si="24"/>
        <v>42716</v>
      </c>
      <c r="D657" s="105" t="s">
        <v>468</v>
      </c>
      <c r="E657" s="110">
        <v>42716</v>
      </c>
      <c r="F657" s="111" t="s">
        <v>485</v>
      </c>
      <c r="G657" s="111" t="s">
        <v>472</v>
      </c>
      <c r="H657" s="112"/>
      <c r="I657" s="133"/>
      <c r="J657" s="135"/>
      <c r="K657" s="13">
        <v>2000</v>
      </c>
      <c r="L657" s="113" t="s">
        <v>9</v>
      </c>
      <c r="M657" s="402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/>
      </c>
      <c r="Z657" s="563">
        <v>4</v>
      </c>
    </row>
    <row r="658" spans="1:26" ht="15.75" customHeight="1">
      <c r="A658" s="120" t="str">
        <f>IF(B658&lt;&gt;"",IF(AND(B658&gt;=_TM1,B658&lt;=_TM2,OR(TH!L658="1111",TH!M658="1111")),TH!D658,""),"")</f>
        <v/>
      </c>
      <c r="B658" s="12">
        <f t="shared" si="25"/>
        <v>12</v>
      </c>
      <c r="C658" s="105">
        <f t="shared" si="24"/>
        <v>42716</v>
      </c>
      <c r="D658" s="105" t="s">
        <v>584</v>
      </c>
      <c r="E658" s="110">
        <v>42716</v>
      </c>
      <c r="F658" s="109" t="s">
        <v>811</v>
      </c>
      <c r="G658" s="296" t="s">
        <v>840</v>
      </c>
      <c r="H658" s="4" t="s">
        <v>812</v>
      </c>
      <c r="I658" s="133">
        <v>2400</v>
      </c>
      <c r="J658" s="133">
        <v>7500</v>
      </c>
      <c r="K658" s="13">
        <f>ROUND(I658*J658,0)</f>
        <v>18000000</v>
      </c>
      <c r="L658" s="113" t="s">
        <v>251</v>
      </c>
      <c r="M658" s="402" t="s">
        <v>168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/>
      </c>
      <c r="Z658" s="563"/>
    </row>
    <row r="659" spans="1:26" ht="15.75" customHeight="1">
      <c r="A659" s="120" t="str">
        <f>IF(B659&lt;&gt;"",IF(AND(B659&gt;=_TM1,B659&lt;=_TM2,OR(TH!L659="1111",TH!M659="1111")),TH!D659,""),"")</f>
        <v/>
      </c>
      <c r="B659" s="12">
        <f t="shared" si="25"/>
        <v>12</v>
      </c>
      <c r="C659" s="105">
        <f t="shared" si="24"/>
        <v>42716</v>
      </c>
      <c r="D659" s="105" t="s">
        <v>584</v>
      </c>
      <c r="E659" s="110">
        <v>42716</v>
      </c>
      <c r="F659" s="109" t="s">
        <v>494</v>
      </c>
      <c r="G659" s="296" t="s">
        <v>840</v>
      </c>
      <c r="H659" s="4" t="s">
        <v>812</v>
      </c>
      <c r="I659" s="133"/>
      <c r="J659" s="133"/>
      <c r="K659" s="13">
        <v>1800000</v>
      </c>
      <c r="L659" s="113" t="s">
        <v>251</v>
      </c>
      <c r="M659" s="402" t="s">
        <v>350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/>
      </c>
      <c r="Z659" s="563"/>
    </row>
    <row r="660" spans="1:26" ht="15.75" customHeight="1">
      <c r="A660" s="120" t="str">
        <f>IF(B660&lt;&gt;"",IF(AND(B660&gt;=_TM1,B660&lt;=_TM2,OR(TH!L660="1111",TH!M660="1111")),TH!D660,""),"")</f>
        <v>T31</v>
      </c>
      <c r="B660" s="12">
        <f t="shared" si="25"/>
        <v>12</v>
      </c>
      <c r="C660" s="105">
        <f t="shared" si="24"/>
        <v>42716</v>
      </c>
      <c r="D660" s="105" t="s">
        <v>1037</v>
      </c>
      <c r="E660" s="110">
        <v>42716</v>
      </c>
      <c r="F660" s="111" t="s">
        <v>482</v>
      </c>
      <c r="G660" s="296" t="s">
        <v>840</v>
      </c>
      <c r="H660" s="4" t="s">
        <v>812</v>
      </c>
      <c r="I660" s="134"/>
      <c r="J660" s="134"/>
      <c r="K660" s="13">
        <v>19800000</v>
      </c>
      <c r="L660" s="113" t="s">
        <v>46</v>
      </c>
      <c r="M660" s="402" t="s">
        <v>251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>x</v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/>
      </c>
      <c r="Z660" s="563"/>
    </row>
    <row r="661" spans="1:26" ht="15.75" customHeight="1">
      <c r="A661" s="120" t="str">
        <f>IF(B661&lt;&gt;"",IF(AND(B661&gt;=_TM1,B661&lt;=_TM2,OR(TH!L661="1111",TH!M661="1111")),TH!D661,""),"")</f>
        <v/>
      </c>
      <c r="B661" s="12">
        <f t="shared" si="25"/>
        <v>12</v>
      </c>
      <c r="C661" s="105">
        <f t="shared" ref="C661:C724" si="26">E661</f>
        <v>42716</v>
      </c>
      <c r="D661" s="105" t="s">
        <v>585</v>
      </c>
      <c r="E661" s="110">
        <v>42716</v>
      </c>
      <c r="F661" s="111" t="s">
        <v>662</v>
      </c>
      <c r="G661" s="298" t="s">
        <v>880</v>
      </c>
      <c r="H661" s="4" t="s">
        <v>616</v>
      </c>
      <c r="I661" s="134">
        <v>332</v>
      </c>
      <c r="J661" s="134">
        <v>9400</v>
      </c>
      <c r="K661" s="13">
        <f>ROUND(I661*J661,0)</f>
        <v>3120800</v>
      </c>
      <c r="L661" s="113" t="s">
        <v>251</v>
      </c>
      <c r="M661" s="402" t="s">
        <v>168</v>
      </c>
      <c r="N661" s="22" t="str">
        <f>IF(AND('331-CT'!$E$7=TH!H661,OR(L661="331",M661="331")),"331",IF(AND(OR(L661="131",M661="131"),H661='131-CT'!$E$7),"131",""))</f>
        <v/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/>
      </c>
      <c r="Z661" s="563"/>
    </row>
    <row r="662" spans="1:26" ht="15.75" customHeight="1">
      <c r="A662" s="120" t="str">
        <f>IF(B662&lt;&gt;"",IF(AND(B662&gt;=_TM1,B662&lt;=_TM2,OR(TH!L662="1111",TH!M662="1111")),TH!D662,""),"")</f>
        <v/>
      </c>
      <c r="B662" s="12">
        <f t="shared" si="25"/>
        <v>12</v>
      </c>
      <c r="C662" s="105">
        <f t="shared" si="26"/>
        <v>42716</v>
      </c>
      <c r="D662" s="105" t="s">
        <v>585</v>
      </c>
      <c r="E662" s="110">
        <v>42716</v>
      </c>
      <c r="F662" s="111" t="s">
        <v>509</v>
      </c>
      <c r="G662" s="298" t="s">
        <v>880</v>
      </c>
      <c r="H662" s="4" t="s">
        <v>616</v>
      </c>
      <c r="I662" s="133">
        <v>104</v>
      </c>
      <c r="J662" s="133">
        <v>12900</v>
      </c>
      <c r="K662" s="13">
        <f>ROUND(I662*J662,0)</f>
        <v>1341600</v>
      </c>
      <c r="L662" s="113" t="s">
        <v>251</v>
      </c>
      <c r="M662" s="402" t="s">
        <v>168</v>
      </c>
      <c r="N662" s="22" t="str">
        <f>IF(AND('331-CT'!$E$7=TH!H662,OR(L662="331",M662="331")),"331",IF(AND(OR(L662="131",M662="131"),H662='131-CT'!$E$7),"131",""))</f>
        <v/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/>
      </c>
      <c r="Z662" s="563"/>
    </row>
    <row r="663" spans="1:26" ht="15.75" customHeight="1">
      <c r="A663" s="120" t="str">
        <f>IF(B663&lt;&gt;"",IF(AND(B663&gt;=_TM1,B663&lt;=_TM2,OR(TH!L663="1111",TH!M663="1111")),TH!D663,""),"")</f>
        <v/>
      </c>
      <c r="B663" s="12">
        <f t="shared" si="25"/>
        <v>12</v>
      </c>
      <c r="C663" s="105">
        <f t="shared" si="26"/>
        <v>42716</v>
      </c>
      <c r="D663" s="105" t="s">
        <v>585</v>
      </c>
      <c r="E663" s="110">
        <v>42716</v>
      </c>
      <c r="F663" s="109" t="s">
        <v>494</v>
      </c>
      <c r="G663" s="298" t="s">
        <v>880</v>
      </c>
      <c r="H663" s="4" t="s">
        <v>616</v>
      </c>
      <c r="I663" s="133"/>
      <c r="J663" s="133"/>
      <c r="K663" s="13">
        <v>446240</v>
      </c>
      <c r="L663" s="113" t="s">
        <v>251</v>
      </c>
      <c r="M663" s="402" t="s">
        <v>350</v>
      </c>
      <c r="N663" s="22" t="str">
        <f>IF(AND('331-CT'!$E$7=TH!H663,OR(L663="331",M663="331")),"331",IF(AND(OR(L663="131",M663="131"),H663='131-CT'!$E$7),"131",""))</f>
        <v/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/>
      </c>
      <c r="Z663" s="563"/>
    </row>
    <row r="664" spans="1:26" ht="15.75" customHeight="1">
      <c r="A664" s="120" t="str">
        <f>IF(B664&lt;&gt;"",IF(AND(B664&gt;=_TM1,B664&lt;=_TM2,OR(TH!L664="1111",TH!M664="1111")),TH!D664,""),"")</f>
        <v>C26</v>
      </c>
      <c r="B664" s="12">
        <f t="shared" si="25"/>
        <v>12</v>
      </c>
      <c r="C664" s="105">
        <f t="shared" si="26"/>
        <v>42717</v>
      </c>
      <c r="D664" s="105" t="s">
        <v>1031</v>
      </c>
      <c r="E664" s="110">
        <v>42717</v>
      </c>
      <c r="F664" s="109" t="s">
        <v>469</v>
      </c>
      <c r="G664" s="111" t="s">
        <v>472</v>
      </c>
      <c r="H664" s="112" t="s">
        <v>794</v>
      </c>
      <c r="I664" s="133"/>
      <c r="J664" s="135"/>
      <c r="K664" s="13">
        <v>13300000</v>
      </c>
      <c r="L664" s="113" t="s">
        <v>24</v>
      </c>
      <c r="M664" s="402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>x</v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/>
      </c>
      <c r="Z664" s="563"/>
    </row>
    <row r="665" spans="1:26" ht="15.75" customHeight="1">
      <c r="A665" s="120" t="str">
        <f>IF(B665&lt;&gt;"",IF(AND(B665&gt;=_TM1,B665&lt;=_TM2,OR(TH!L665="1111",TH!M665="1111")),TH!D665,""),"")</f>
        <v/>
      </c>
      <c r="B665" s="12">
        <f t="shared" si="25"/>
        <v>12</v>
      </c>
      <c r="C665" s="105">
        <f t="shared" si="26"/>
        <v>42717</v>
      </c>
      <c r="D665" s="105" t="s">
        <v>467</v>
      </c>
      <c r="E665" s="110">
        <v>42717</v>
      </c>
      <c r="F665" s="109" t="s">
        <v>482</v>
      </c>
      <c r="G665" s="111" t="s">
        <v>472</v>
      </c>
      <c r="H665" s="112" t="s">
        <v>681</v>
      </c>
      <c r="I665" s="133"/>
      <c r="J665" s="135"/>
      <c r="K665" s="13">
        <v>27324000</v>
      </c>
      <c r="L665" s="113" t="s">
        <v>24</v>
      </c>
      <c r="M665" s="402" t="s">
        <v>251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/>
      </c>
      <c r="Z665" s="563"/>
    </row>
    <row r="666" spans="1:26" ht="15.75" customHeight="1">
      <c r="A666" s="120" t="str">
        <f>IF(B666&lt;&gt;"",IF(AND(B666&gt;=_TM1,B666&lt;=_TM2,OR(TH!L666="1111",TH!M666="1111")),TH!D666,""),"")</f>
        <v/>
      </c>
      <c r="B666" s="12">
        <f t="shared" si="25"/>
        <v>12</v>
      </c>
      <c r="C666" s="105">
        <f t="shared" si="26"/>
        <v>42717</v>
      </c>
      <c r="D666" s="105" t="s">
        <v>586</v>
      </c>
      <c r="E666" s="110">
        <v>42717</v>
      </c>
      <c r="F666" s="111" t="s">
        <v>527</v>
      </c>
      <c r="G666" s="298" t="s">
        <v>881</v>
      </c>
      <c r="H666" s="4" t="s">
        <v>367</v>
      </c>
      <c r="I666" s="133">
        <v>60</v>
      </c>
      <c r="J666" s="133">
        <v>47449</v>
      </c>
      <c r="K666" s="13">
        <f>ROUND(I666*J666,0)</f>
        <v>2846940</v>
      </c>
      <c r="L666" s="113" t="s">
        <v>251</v>
      </c>
      <c r="M666" s="402" t="s">
        <v>168</v>
      </c>
      <c r="N666" s="22" t="str">
        <f>IF(AND('331-CT'!$E$7=TH!H666,OR(L666="331",M666="331")),"331",IF(AND(OR(L666="131",M666="131"),H666='131-CT'!$E$7),"131",""))</f>
        <v>131</v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/>
      </c>
      <c r="Z666" s="563"/>
    </row>
    <row r="667" spans="1:26" ht="15.75" customHeight="1">
      <c r="A667" s="120" t="str">
        <f>IF(B667&lt;&gt;"",IF(AND(B667&gt;=_TM1,B667&lt;=_TM2,OR(TH!L667="1111",TH!M667="1111")),TH!D667,""),"")</f>
        <v/>
      </c>
      <c r="B667" s="12">
        <f t="shared" si="25"/>
        <v>12</v>
      </c>
      <c r="C667" s="105">
        <f t="shared" si="26"/>
        <v>42717</v>
      </c>
      <c r="D667" s="105" t="s">
        <v>586</v>
      </c>
      <c r="E667" s="110">
        <v>42717</v>
      </c>
      <c r="F667" s="111" t="s">
        <v>664</v>
      </c>
      <c r="G667" s="298" t="s">
        <v>881</v>
      </c>
      <c r="H667" s="4" t="s">
        <v>367</v>
      </c>
      <c r="I667" s="133">
        <v>22</v>
      </c>
      <c r="J667" s="133">
        <v>54530</v>
      </c>
      <c r="K667" s="13">
        <f>ROUND(I667*J667,0)</f>
        <v>1199660</v>
      </c>
      <c r="L667" s="113" t="s">
        <v>251</v>
      </c>
      <c r="M667" s="402" t="s">
        <v>168</v>
      </c>
      <c r="N667" s="22" t="str">
        <f>IF(AND('331-CT'!$E$7=TH!H667,OR(L667="331",M667="331")),"331",IF(AND(OR(L667="131",M667="131"),H667='131-CT'!$E$7),"131",""))</f>
        <v>131</v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/>
      </c>
      <c r="Z667" s="563"/>
    </row>
    <row r="668" spans="1:26" ht="15.75" customHeight="1">
      <c r="A668" s="120" t="str">
        <f>IF(B668&lt;&gt;"",IF(AND(B668&gt;=_TM1,B668&lt;=_TM2,OR(TH!L668="1111",TH!M668="1111")),TH!D668,""),"")</f>
        <v/>
      </c>
      <c r="B668" s="12">
        <f t="shared" si="25"/>
        <v>12</v>
      </c>
      <c r="C668" s="105">
        <f t="shared" si="26"/>
        <v>42717</v>
      </c>
      <c r="D668" s="105" t="s">
        <v>586</v>
      </c>
      <c r="E668" s="110">
        <v>42717</v>
      </c>
      <c r="F668" s="109" t="s">
        <v>494</v>
      </c>
      <c r="G668" s="298" t="s">
        <v>881</v>
      </c>
      <c r="H668" s="4" t="s">
        <v>367</v>
      </c>
      <c r="I668" s="133"/>
      <c r="J668" s="133"/>
      <c r="K668" s="13">
        <v>404660</v>
      </c>
      <c r="L668" s="113" t="s">
        <v>251</v>
      </c>
      <c r="M668" s="402" t="s">
        <v>350</v>
      </c>
      <c r="N668" s="22" t="str">
        <f>IF(AND('331-CT'!$E$7=TH!H668,OR(L668="331",M668="331")),"331",IF(AND(OR(L668="131",M668="131"),H668='131-CT'!$E$7),"131",""))</f>
        <v>131</v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/>
      </c>
      <c r="Z668" s="563"/>
    </row>
    <row r="669" spans="1:26" ht="15.75" customHeight="1">
      <c r="A669" s="120" t="str">
        <f>IF(B669&lt;&gt;"",IF(AND(B669&gt;=_TM1,B669&lt;=_TM2,OR(TH!L669="1111",TH!M669="1111")),TH!D669,""),"")</f>
        <v>T32</v>
      </c>
      <c r="B669" s="12">
        <f t="shared" si="25"/>
        <v>12</v>
      </c>
      <c r="C669" s="105">
        <f t="shared" si="26"/>
        <v>42717</v>
      </c>
      <c r="D669" s="105" t="s">
        <v>1038</v>
      </c>
      <c r="E669" s="110">
        <v>42717</v>
      </c>
      <c r="F669" s="111" t="s">
        <v>482</v>
      </c>
      <c r="G669" s="298" t="s">
        <v>881</v>
      </c>
      <c r="H669" s="4" t="s">
        <v>367</v>
      </c>
      <c r="I669" s="133"/>
      <c r="J669" s="133"/>
      <c r="K669" s="13">
        <v>4451260</v>
      </c>
      <c r="L669" s="113" t="s">
        <v>46</v>
      </c>
      <c r="M669" s="402" t="s">
        <v>251</v>
      </c>
      <c r="N669" s="22" t="str">
        <f>IF(AND('331-CT'!$E$7=TH!H669,OR(L669="331",M669="331")),"331",IF(AND(OR(L669="131",M669="131"),H669='131-CT'!$E$7),"131",""))</f>
        <v>131</v>
      </c>
      <c r="O669" s="22" t="str">
        <f>IF(AND($B669&gt;='111'!$N$11,$B669&lt;='111'!$O$11,OR($L669=$O$7,$M669=$O$7)),"x","")</f>
        <v>x</v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/>
      </c>
      <c r="Z669" s="563"/>
    </row>
    <row r="670" spans="1:26" ht="15.75" customHeight="1">
      <c r="A670" s="120" t="str">
        <f>IF(B670&lt;&gt;"",IF(AND(B670&gt;=_TM1,B670&lt;=_TM2,OR(TH!L670="1111",TH!M670="1111")),TH!D670,""),"")</f>
        <v/>
      </c>
      <c r="B670" s="12">
        <f t="shared" si="25"/>
        <v>12</v>
      </c>
      <c r="C670" s="105">
        <f t="shared" si="26"/>
        <v>42718</v>
      </c>
      <c r="D670" s="105" t="s">
        <v>468</v>
      </c>
      <c r="E670" s="110">
        <v>42718</v>
      </c>
      <c r="F670" s="111" t="s">
        <v>478</v>
      </c>
      <c r="G670" s="111" t="s">
        <v>472</v>
      </c>
      <c r="H670" s="112"/>
      <c r="I670" s="133"/>
      <c r="J670" s="135"/>
      <c r="K670" s="13">
        <v>20000</v>
      </c>
      <c r="L670" s="113" t="s">
        <v>82</v>
      </c>
      <c r="M670" s="402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>x</v>
      </c>
      <c r="Y670" s="22" t="str">
        <f>IF(AND(B670&lt;=NKC!$N$8,B670&gt;=NKC!$M$8),"x","")</f>
        <v/>
      </c>
      <c r="Z670" s="563">
        <v>4</v>
      </c>
    </row>
    <row r="671" spans="1:26" ht="15.75" customHeight="1">
      <c r="A671" s="120" t="str">
        <f>IF(B671&lt;&gt;"",IF(AND(B671&gt;=_TM1,B671&lt;=_TM2,OR(TH!L671="1111",TH!M671="1111")),TH!D671,""),"")</f>
        <v/>
      </c>
      <c r="B671" s="12">
        <f t="shared" si="25"/>
        <v>12</v>
      </c>
      <c r="C671" s="105">
        <f t="shared" si="26"/>
        <v>42718</v>
      </c>
      <c r="D671" s="105" t="s">
        <v>468</v>
      </c>
      <c r="E671" s="110">
        <v>42718</v>
      </c>
      <c r="F671" s="111" t="s">
        <v>479</v>
      </c>
      <c r="G671" s="111" t="s">
        <v>472</v>
      </c>
      <c r="H671" s="112"/>
      <c r="I671" s="133"/>
      <c r="J671" s="135"/>
      <c r="K671" s="13">
        <v>2000</v>
      </c>
      <c r="L671" s="113" t="s">
        <v>9</v>
      </c>
      <c r="M671" s="402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/>
      </c>
      <c r="Z671" s="563">
        <v>4</v>
      </c>
    </row>
    <row r="672" spans="1:26" ht="15.75" customHeight="1">
      <c r="A672" s="120" t="str">
        <f>IF(B672&lt;&gt;"",IF(AND(B672&gt;=_TM1,B672&lt;=_TM2,OR(TH!L672="1111",TH!M672="1111")),TH!D672,""),"")</f>
        <v/>
      </c>
      <c r="B672" s="12">
        <f t="shared" si="25"/>
        <v>12</v>
      </c>
      <c r="C672" s="105">
        <f t="shared" si="26"/>
        <v>42718</v>
      </c>
      <c r="D672" s="105" t="s">
        <v>468</v>
      </c>
      <c r="E672" s="110">
        <v>42718</v>
      </c>
      <c r="F672" s="111" t="s">
        <v>973</v>
      </c>
      <c r="G672" s="111" t="s">
        <v>472</v>
      </c>
      <c r="H672" s="112" t="s">
        <v>622</v>
      </c>
      <c r="I672" s="133"/>
      <c r="J672" s="135"/>
      <c r="K672" s="13">
        <v>40700000</v>
      </c>
      <c r="L672" s="113" t="s">
        <v>8</v>
      </c>
      <c r="M672" s="402" t="s">
        <v>24</v>
      </c>
      <c r="N672" s="22" t="str">
        <f>IF(AND('331-CT'!$E$7=TH!H672,OR(L672="331",M672="331")),"331",IF(AND(OR(L672="131",M672="131"),H672='131-CT'!$E$7),"131",""))</f>
        <v>331</v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/>
      </c>
      <c r="Z672" s="563"/>
    </row>
    <row r="673" spans="1:26" ht="15.75" customHeight="1">
      <c r="A673" s="120" t="str">
        <f>IF(B673&lt;&gt;"",IF(AND(B673&gt;=_TM1,B673&lt;=_TM2,OR(TH!L673="1111",TH!M673="1111")),TH!D673,""),"")</f>
        <v/>
      </c>
      <c r="B673" s="12">
        <f t="shared" si="25"/>
        <v>12</v>
      </c>
      <c r="C673" s="105">
        <f t="shared" si="26"/>
        <v>42718</v>
      </c>
      <c r="D673" s="105" t="s">
        <v>468</v>
      </c>
      <c r="E673" s="110">
        <v>42718</v>
      </c>
      <c r="F673" s="111" t="s">
        <v>478</v>
      </c>
      <c r="G673" s="111" t="s">
        <v>472</v>
      </c>
      <c r="H673" s="112"/>
      <c r="I673" s="133"/>
      <c r="J673" s="135"/>
      <c r="K673" s="13">
        <v>20000</v>
      </c>
      <c r="L673" s="113" t="s">
        <v>82</v>
      </c>
      <c r="M673" s="402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>x</v>
      </c>
      <c r="Y673" s="22" t="str">
        <f>IF(AND(B673&lt;=NKC!$N$8,B673&gt;=NKC!$M$8),"x","")</f>
        <v/>
      </c>
      <c r="Z673" s="563">
        <v>4</v>
      </c>
    </row>
    <row r="674" spans="1:26" ht="15.75" customHeight="1">
      <c r="A674" s="120" t="str">
        <f>IF(B674&lt;&gt;"",IF(AND(B674&gt;=_TM1,B674&lt;=_TM2,OR(TH!L674="1111",TH!M674="1111")),TH!D674,""),"")</f>
        <v/>
      </c>
      <c r="B674" s="12">
        <f t="shared" si="25"/>
        <v>12</v>
      </c>
      <c r="C674" s="105">
        <f t="shared" si="26"/>
        <v>42718</v>
      </c>
      <c r="D674" s="105" t="s">
        <v>468</v>
      </c>
      <c r="E674" s="110">
        <v>42718</v>
      </c>
      <c r="F674" s="111" t="s">
        <v>479</v>
      </c>
      <c r="G674" s="111" t="s">
        <v>472</v>
      </c>
      <c r="H674" s="112"/>
      <c r="I674" s="133"/>
      <c r="J674" s="135"/>
      <c r="K674" s="13">
        <v>2000</v>
      </c>
      <c r="L674" s="113" t="s">
        <v>9</v>
      </c>
      <c r="M674" s="402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/>
      </c>
      <c r="Z674" s="563">
        <v>4</v>
      </c>
    </row>
    <row r="675" spans="1:26" ht="15.75" customHeight="1">
      <c r="A675" s="120" t="str">
        <f>IF(B675&lt;&gt;"",IF(AND(B675&gt;=_TM1,B675&lt;=_TM2,OR(TH!L675="1111",TH!M675="1111")),TH!D675,""),"")</f>
        <v/>
      </c>
      <c r="B675" s="12">
        <f t="shared" si="25"/>
        <v>12</v>
      </c>
      <c r="C675" s="105">
        <f t="shared" si="26"/>
        <v>42719</v>
      </c>
      <c r="D675" s="105" t="s">
        <v>587</v>
      </c>
      <c r="E675" s="110">
        <v>42719</v>
      </c>
      <c r="F675" s="111" t="s">
        <v>842</v>
      </c>
      <c r="G675" s="296" t="s">
        <v>841</v>
      </c>
      <c r="H675" s="4" t="s">
        <v>364</v>
      </c>
      <c r="I675" s="133">
        <v>103</v>
      </c>
      <c r="J675" s="133">
        <v>14000</v>
      </c>
      <c r="K675" s="13">
        <f>ROUND(I675*J675,0)</f>
        <v>1442000</v>
      </c>
      <c r="L675" s="113" t="s">
        <v>251</v>
      </c>
      <c r="M675" s="402" t="s">
        <v>168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/>
      </c>
      <c r="Z675" s="563"/>
    </row>
    <row r="676" spans="1:26" ht="15.75" customHeight="1">
      <c r="A676" s="120" t="str">
        <f>IF(B676&lt;&gt;"",IF(AND(B676&gt;=_TM1,B676&lt;=_TM2,OR(TH!L676="1111",TH!M676="1111")),TH!D676,""),"")</f>
        <v/>
      </c>
      <c r="B676" s="12">
        <f t="shared" si="25"/>
        <v>12</v>
      </c>
      <c r="C676" s="105">
        <f t="shared" si="26"/>
        <v>42719</v>
      </c>
      <c r="D676" s="105" t="s">
        <v>587</v>
      </c>
      <c r="E676" s="110">
        <v>42719</v>
      </c>
      <c r="F676" s="111" t="s">
        <v>843</v>
      </c>
      <c r="G676" s="296" t="s">
        <v>841</v>
      </c>
      <c r="H676" s="4" t="s">
        <v>364</v>
      </c>
      <c r="I676" s="134">
        <v>273</v>
      </c>
      <c r="J676" s="134">
        <v>20000</v>
      </c>
      <c r="K676" s="13">
        <f>ROUND(I676*J676,0)</f>
        <v>5460000</v>
      </c>
      <c r="L676" s="113" t="s">
        <v>251</v>
      </c>
      <c r="M676" s="402" t="s">
        <v>168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/>
      </c>
      <c r="Z676" s="563"/>
    </row>
    <row r="677" spans="1:26" ht="15.75" customHeight="1">
      <c r="A677" s="120" t="str">
        <f>IF(B677&lt;&gt;"",IF(AND(B677&gt;=_TM1,B677&lt;=_TM2,OR(TH!L677="1111",TH!M677="1111")),TH!D677,""),"")</f>
        <v/>
      </c>
      <c r="B677" s="12">
        <f t="shared" si="25"/>
        <v>12</v>
      </c>
      <c r="C677" s="105">
        <f t="shared" si="26"/>
        <v>42719</v>
      </c>
      <c r="D677" s="105" t="s">
        <v>587</v>
      </c>
      <c r="E677" s="110">
        <v>42719</v>
      </c>
      <c r="F677" s="109" t="s">
        <v>494</v>
      </c>
      <c r="G677" s="296" t="s">
        <v>841</v>
      </c>
      <c r="H677" s="4" t="s">
        <v>364</v>
      </c>
      <c r="I677" s="134"/>
      <c r="J677" s="134"/>
      <c r="K677" s="13">
        <v>690200</v>
      </c>
      <c r="L677" s="113" t="s">
        <v>251</v>
      </c>
      <c r="M677" s="402" t="s">
        <v>350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/>
      </c>
      <c r="Z677" s="563"/>
    </row>
    <row r="678" spans="1:26" ht="15.75" customHeight="1">
      <c r="A678" s="120" t="str">
        <f>IF(B678&lt;&gt;"",IF(AND(B678&gt;=_TM1,B678&lt;=_TM2,OR(TH!L678="1111",TH!M678="1111")),TH!D678,""),"")</f>
        <v/>
      </c>
      <c r="B678" s="12">
        <f t="shared" si="25"/>
        <v>12</v>
      </c>
      <c r="C678" s="105">
        <f t="shared" si="26"/>
        <v>42719</v>
      </c>
      <c r="D678" s="105" t="s">
        <v>588</v>
      </c>
      <c r="E678" s="110">
        <v>42719</v>
      </c>
      <c r="F678" s="109" t="s">
        <v>811</v>
      </c>
      <c r="G678" s="298" t="s">
        <v>882</v>
      </c>
      <c r="H678" s="4" t="s">
        <v>812</v>
      </c>
      <c r="I678" s="133">
        <v>2400</v>
      </c>
      <c r="J678" s="133">
        <v>7500</v>
      </c>
      <c r="K678" s="13">
        <f>ROUND(I678*J678,0)</f>
        <v>18000000</v>
      </c>
      <c r="L678" s="113" t="s">
        <v>251</v>
      </c>
      <c r="M678" s="402" t="s">
        <v>168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/>
      </c>
      <c r="Z678" s="563"/>
    </row>
    <row r="679" spans="1:26" ht="15.75" customHeight="1">
      <c r="A679" s="120" t="str">
        <f>IF(B679&lt;&gt;"",IF(AND(B679&gt;=_TM1,B679&lt;=_TM2,OR(TH!L679="1111",TH!M679="1111")),TH!D679,""),"")</f>
        <v/>
      </c>
      <c r="B679" s="12">
        <f t="shared" si="25"/>
        <v>12</v>
      </c>
      <c r="C679" s="105">
        <f t="shared" si="26"/>
        <v>42719</v>
      </c>
      <c r="D679" s="105" t="s">
        <v>588</v>
      </c>
      <c r="E679" s="110">
        <v>42719</v>
      </c>
      <c r="F679" s="109" t="s">
        <v>494</v>
      </c>
      <c r="G679" s="298" t="s">
        <v>882</v>
      </c>
      <c r="H679" s="4" t="s">
        <v>812</v>
      </c>
      <c r="I679" s="133"/>
      <c r="J679" s="133"/>
      <c r="K679" s="13">
        <v>1800000</v>
      </c>
      <c r="L679" s="113" t="s">
        <v>251</v>
      </c>
      <c r="M679" s="402" t="s">
        <v>350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/>
      </c>
      <c r="Z679" s="563"/>
    </row>
    <row r="680" spans="1:26" ht="15.75" customHeight="1">
      <c r="A680" s="120" t="str">
        <f>IF(B680&lt;&gt;"",IF(AND(B680&gt;=_TM1,B680&lt;=_TM2,OR(TH!L680="1111",TH!M680="1111")),TH!D680,""),"")</f>
        <v>T33</v>
      </c>
      <c r="B680" s="12">
        <f t="shared" si="25"/>
        <v>12</v>
      </c>
      <c r="C680" s="105">
        <f t="shared" si="26"/>
        <v>42719</v>
      </c>
      <c r="D680" s="105" t="s">
        <v>1040</v>
      </c>
      <c r="E680" s="110">
        <v>42719</v>
      </c>
      <c r="F680" s="111" t="s">
        <v>482</v>
      </c>
      <c r="G680" s="298" t="s">
        <v>882</v>
      </c>
      <c r="H680" s="4" t="s">
        <v>812</v>
      </c>
      <c r="I680" s="134"/>
      <c r="J680" s="134"/>
      <c r="K680" s="13">
        <v>19800000</v>
      </c>
      <c r="L680" s="113" t="s">
        <v>46</v>
      </c>
      <c r="M680" s="402" t="s">
        <v>251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>x</v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/>
      </c>
      <c r="Z680" s="563"/>
    </row>
    <row r="681" spans="1:26" ht="15.75" customHeight="1">
      <c r="A681" s="120" t="str">
        <f>IF(B681&lt;&gt;"",IF(AND(B681&gt;=_TM1,B681&lt;=_TM2,OR(TH!L681="1111",TH!M681="1111")),TH!D681,""),"")</f>
        <v/>
      </c>
      <c r="B681" s="12">
        <f t="shared" si="25"/>
        <v>12</v>
      </c>
      <c r="C681" s="105">
        <f t="shared" si="26"/>
        <v>42720</v>
      </c>
      <c r="D681" s="105" t="s">
        <v>589</v>
      </c>
      <c r="E681" s="110">
        <v>42720</v>
      </c>
      <c r="F681" s="109" t="s">
        <v>811</v>
      </c>
      <c r="G681" s="298" t="s">
        <v>883</v>
      </c>
      <c r="H681" s="4" t="s">
        <v>812</v>
      </c>
      <c r="I681" s="133">
        <v>2400</v>
      </c>
      <c r="J681" s="133">
        <v>7500</v>
      </c>
      <c r="K681" s="13">
        <f>ROUND(I681*J681,0)</f>
        <v>18000000</v>
      </c>
      <c r="L681" s="113" t="s">
        <v>251</v>
      </c>
      <c r="M681" s="402" t="s">
        <v>168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/>
      </c>
      <c r="Z681" s="563"/>
    </row>
    <row r="682" spans="1:26" ht="15.75" customHeight="1">
      <c r="A682" s="120" t="str">
        <f>IF(B682&lt;&gt;"",IF(AND(B682&gt;=_TM1,B682&lt;=_TM2,OR(TH!L682="1111",TH!M682="1111")),TH!D682,""),"")</f>
        <v/>
      </c>
      <c r="B682" s="12">
        <f t="shared" si="25"/>
        <v>12</v>
      </c>
      <c r="C682" s="105">
        <f t="shared" si="26"/>
        <v>42720</v>
      </c>
      <c r="D682" s="105" t="s">
        <v>589</v>
      </c>
      <c r="E682" s="110">
        <v>42720</v>
      </c>
      <c r="F682" s="109" t="s">
        <v>494</v>
      </c>
      <c r="G682" s="298" t="s">
        <v>883</v>
      </c>
      <c r="H682" s="4" t="s">
        <v>812</v>
      </c>
      <c r="I682" s="133"/>
      <c r="J682" s="133"/>
      <c r="K682" s="13">
        <v>1800000</v>
      </c>
      <c r="L682" s="113" t="s">
        <v>251</v>
      </c>
      <c r="M682" s="402" t="s">
        <v>350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/>
      </c>
      <c r="Z682" s="563"/>
    </row>
    <row r="683" spans="1:26" ht="15.75" customHeight="1">
      <c r="A683" s="120" t="str">
        <f>IF(B683&lt;&gt;"",IF(AND(B683&gt;=_TM1,B683&lt;=_TM2,OR(TH!L683="1111",TH!M683="1111")),TH!D683,""),"")</f>
        <v>T34</v>
      </c>
      <c r="B683" s="12">
        <f t="shared" si="25"/>
        <v>12</v>
      </c>
      <c r="C683" s="105">
        <f t="shared" si="26"/>
        <v>42720</v>
      </c>
      <c r="D683" s="105" t="s">
        <v>1039</v>
      </c>
      <c r="E683" s="110">
        <v>42720</v>
      </c>
      <c r="F683" s="111" t="s">
        <v>482</v>
      </c>
      <c r="G683" s="298" t="s">
        <v>883</v>
      </c>
      <c r="H683" s="4" t="s">
        <v>812</v>
      </c>
      <c r="I683" s="134"/>
      <c r="J683" s="134"/>
      <c r="K683" s="13">
        <v>19800000</v>
      </c>
      <c r="L683" s="113" t="s">
        <v>46</v>
      </c>
      <c r="M683" s="402" t="s">
        <v>251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>x</v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/>
      </c>
      <c r="Z683" s="563"/>
    </row>
    <row r="684" spans="1:26" ht="15.75" customHeight="1">
      <c r="A684" s="120" t="str">
        <f>IF(B684&lt;&gt;"",IF(AND(B684&gt;=_TM1,B684&lt;=_TM2,OR(TH!L684="1111",TH!M684="1111")),TH!D684,""),"")</f>
        <v/>
      </c>
      <c r="B684" s="12">
        <f t="shared" si="25"/>
        <v>12</v>
      </c>
      <c r="C684" s="105">
        <f t="shared" si="26"/>
        <v>42721</v>
      </c>
      <c r="D684" s="105" t="s">
        <v>590</v>
      </c>
      <c r="E684" s="110">
        <v>42721</v>
      </c>
      <c r="F684" s="111" t="s">
        <v>846</v>
      </c>
      <c r="G684" s="296" t="s">
        <v>845</v>
      </c>
      <c r="H684" s="125" t="s">
        <v>844</v>
      </c>
      <c r="I684" s="133">
        <v>205</v>
      </c>
      <c r="J684" s="133">
        <v>4950</v>
      </c>
      <c r="K684" s="13">
        <f>ROUND(I684*J684,0)</f>
        <v>1014750</v>
      </c>
      <c r="L684" s="113" t="s">
        <v>251</v>
      </c>
      <c r="M684" s="402" t="s">
        <v>168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/>
      </c>
      <c r="Z684" s="563"/>
    </row>
    <row r="685" spans="1:26" ht="15.75" customHeight="1">
      <c r="A685" s="120" t="str">
        <f>IF(B685&lt;&gt;"",IF(AND(B685&gt;=_TM1,B685&lt;=_TM2,OR(TH!L685="1111",TH!M685="1111")),TH!D685,""),"")</f>
        <v/>
      </c>
      <c r="B685" s="12">
        <f t="shared" si="25"/>
        <v>12</v>
      </c>
      <c r="C685" s="105">
        <f t="shared" si="26"/>
        <v>42721</v>
      </c>
      <c r="D685" s="105" t="s">
        <v>590</v>
      </c>
      <c r="E685" s="110">
        <v>42721</v>
      </c>
      <c r="F685" s="111" t="s">
        <v>847</v>
      </c>
      <c r="G685" s="296" t="s">
        <v>845</v>
      </c>
      <c r="H685" s="125" t="s">
        <v>844</v>
      </c>
      <c r="I685" s="133">
        <v>1160</v>
      </c>
      <c r="J685" s="133">
        <v>9936</v>
      </c>
      <c r="K685" s="13">
        <f>ROUND(I685*J685,0)</f>
        <v>11525760</v>
      </c>
      <c r="L685" s="113" t="s">
        <v>251</v>
      </c>
      <c r="M685" s="402" t="s">
        <v>168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/>
      </c>
      <c r="Z685" s="563"/>
    </row>
    <row r="686" spans="1:26" ht="15.75" customHeight="1">
      <c r="A686" s="120" t="str">
        <f>IF(B686&lt;&gt;"",IF(AND(B686&gt;=_TM1,B686&lt;=_TM2,OR(TH!L686="1111",TH!M686="1111")),TH!D686,""),"")</f>
        <v/>
      </c>
      <c r="B686" s="12">
        <f t="shared" si="25"/>
        <v>12</v>
      </c>
      <c r="C686" s="105">
        <f t="shared" si="26"/>
        <v>42721</v>
      </c>
      <c r="D686" s="105" t="s">
        <v>590</v>
      </c>
      <c r="E686" s="110">
        <v>42721</v>
      </c>
      <c r="F686" s="109" t="s">
        <v>494</v>
      </c>
      <c r="G686" s="296" t="s">
        <v>845</v>
      </c>
      <c r="H686" s="125" t="s">
        <v>844</v>
      </c>
      <c r="I686" s="133"/>
      <c r="J686" s="133"/>
      <c r="K686" s="13">
        <v>1254051</v>
      </c>
      <c r="L686" s="113" t="s">
        <v>251</v>
      </c>
      <c r="M686" s="402" t="s">
        <v>350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/>
      </c>
      <c r="Z686" s="563"/>
    </row>
    <row r="687" spans="1:26" ht="15.75" customHeight="1">
      <c r="A687" s="120" t="str">
        <f>IF(B687&lt;&gt;"",IF(AND(B687&gt;=_TM1,B687&lt;=_TM2,OR(TH!L687="1111",TH!M687="1111")),TH!D687,""),"")</f>
        <v/>
      </c>
      <c r="B687" s="12">
        <f t="shared" si="25"/>
        <v>12</v>
      </c>
      <c r="C687" s="105">
        <f t="shared" si="26"/>
        <v>42721</v>
      </c>
      <c r="D687" s="105" t="s">
        <v>591</v>
      </c>
      <c r="E687" s="110">
        <v>42721</v>
      </c>
      <c r="F687" s="111" t="s">
        <v>849</v>
      </c>
      <c r="G687" s="296" t="s">
        <v>848</v>
      </c>
      <c r="H687" s="125" t="s">
        <v>844</v>
      </c>
      <c r="I687" s="133">
        <v>292</v>
      </c>
      <c r="J687" s="133">
        <v>9853</v>
      </c>
      <c r="K687" s="13">
        <f>ROUND(I687*J687,0)</f>
        <v>2877076</v>
      </c>
      <c r="L687" s="113" t="s">
        <v>251</v>
      </c>
      <c r="M687" s="402" t="s">
        <v>168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/>
      </c>
      <c r="Z687" s="563"/>
    </row>
    <row r="688" spans="1:26" ht="15.75" customHeight="1">
      <c r="A688" s="120" t="str">
        <f>IF(B688&lt;&gt;"",IF(AND(B688&gt;=_TM1,B688&lt;=_TM2,OR(TH!L688="1111",TH!M688="1111")),TH!D688,""),"")</f>
        <v/>
      </c>
      <c r="B688" s="12">
        <f t="shared" si="25"/>
        <v>12</v>
      </c>
      <c r="C688" s="105">
        <f t="shared" si="26"/>
        <v>42721</v>
      </c>
      <c r="D688" s="105" t="s">
        <v>591</v>
      </c>
      <c r="E688" s="110">
        <v>42721</v>
      </c>
      <c r="F688" s="111" t="s">
        <v>850</v>
      </c>
      <c r="G688" s="296" t="s">
        <v>848</v>
      </c>
      <c r="H688" s="125" t="s">
        <v>844</v>
      </c>
      <c r="I688" s="133">
        <v>180</v>
      </c>
      <c r="J688" s="133">
        <v>8243</v>
      </c>
      <c r="K688" s="13">
        <f>ROUND(I688*J688,0)</f>
        <v>1483740</v>
      </c>
      <c r="L688" s="113" t="s">
        <v>251</v>
      </c>
      <c r="M688" s="402" t="s">
        <v>168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/>
      </c>
      <c r="Z688" s="563"/>
    </row>
    <row r="689" spans="1:26" ht="15.75" customHeight="1">
      <c r="A689" s="120" t="str">
        <f>IF(B689&lt;&gt;"",IF(AND(B689&gt;=_TM1,B689&lt;=_TM2,OR(TH!L689="1111",TH!M689="1111")),TH!D689,""),"")</f>
        <v/>
      </c>
      <c r="B689" s="12">
        <f t="shared" si="25"/>
        <v>12</v>
      </c>
      <c r="C689" s="105">
        <f t="shared" si="26"/>
        <v>42721</v>
      </c>
      <c r="D689" s="105" t="s">
        <v>591</v>
      </c>
      <c r="E689" s="110">
        <v>42721</v>
      </c>
      <c r="F689" s="111" t="s">
        <v>851</v>
      </c>
      <c r="G689" s="296" t="s">
        <v>848</v>
      </c>
      <c r="H689" s="125" t="s">
        <v>844</v>
      </c>
      <c r="I689" s="134">
        <v>50</v>
      </c>
      <c r="J689" s="134">
        <v>6670</v>
      </c>
      <c r="K689" s="13">
        <f>ROUND(I689*J689,0)</f>
        <v>333500</v>
      </c>
      <c r="L689" s="113" t="s">
        <v>251</v>
      </c>
      <c r="M689" s="402" t="s">
        <v>168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/>
      </c>
      <c r="Z689" s="563"/>
    </row>
    <row r="690" spans="1:26" ht="15.75" customHeight="1">
      <c r="A690" s="120" t="str">
        <f>IF(B690&lt;&gt;"",IF(AND(B690&gt;=_TM1,B690&lt;=_TM2,OR(TH!L690="1111",TH!M690="1111")),TH!D690,""),"")</f>
        <v/>
      </c>
      <c r="B690" s="12">
        <f t="shared" si="25"/>
        <v>12</v>
      </c>
      <c r="C690" s="105">
        <f t="shared" si="26"/>
        <v>42721</v>
      </c>
      <c r="D690" s="105" t="s">
        <v>591</v>
      </c>
      <c r="E690" s="110">
        <v>42721</v>
      </c>
      <c r="F690" s="111" t="s">
        <v>852</v>
      </c>
      <c r="G690" s="296" t="s">
        <v>848</v>
      </c>
      <c r="H690" s="125" t="s">
        <v>844</v>
      </c>
      <c r="I690" s="134">
        <f>422+118+14</f>
        <v>554</v>
      </c>
      <c r="J690" s="134">
        <v>13276</v>
      </c>
      <c r="K690" s="13">
        <f>ROUND(I690*J690,0)</f>
        <v>7354904</v>
      </c>
      <c r="L690" s="113" t="s">
        <v>251</v>
      </c>
      <c r="M690" s="402" t="s">
        <v>168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/>
      </c>
      <c r="Z690" s="563"/>
    </row>
    <row r="691" spans="1:26" ht="15.75" customHeight="1">
      <c r="A691" s="120" t="str">
        <f>IF(B691&lt;&gt;"",IF(AND(B691&gt;=_TM1,B691&lt;=_TM2,OR(TH!L691="1111",TH!M691="1111")),TH!D691,""),"")</f>
        <v/>
      </c>
      <c r="B691" s="12">
        <f t="shared" si="25"/>
        <v>12</v>
      </c>
      <c r="C691" s="105">
        <f t="shared" si="26"/>
        <v>42721</v>
      </c>
      <c r="D691" s="105" t="s">
        <v>591</v>
      </c>
      <c r="E691" s="110">
        <v>42721</v>
      </c>
      <c r="F691" s="109" t="s">
        <v>494</v>
      </c>
      <c r="G691" s="296" t="s">
        <v>848</v>
      </c>
      <c r="H691" s="125" t="s">
        <v>844</v>
      </c>
      <c r="I691" s="133"/>
      <c r="J691" s="133"/>
      <c r="K691" s="13">
        <v>1204922</v>
      </c>
      <c r="L691" s="113" t="s">
        <v>251</v>
      </c>
      <c r="M691" s="402" t="s">
        <v>350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/>
      </c>
      <c r="Z691" s="563"/>
    </row>
    <row r="692" spans="1:26" ht="15.75" customHeight="1">
      <c r="A692" s="120" t="str">
        <f>IF(B692&lt;&gt;"",IF(AND(B692&gt;=_TM1,B692&lt;=_TM2,OR(TH!L692="1111",TH!M692="1111")),TH!D692,""),"")</f>
        <v/>
      </c>
      <c r="B692" s="12">
        <f t="shared" si="25"/>
        <v>12</v>
      </c>
      <c r="C692" s="105">
        <f t="shared" si="26"/>
        <v>42721</v>
      </c>
      <c r="D692" s="105" t="s">
        <v>592</v>
      </c>
      <c r="E692" s="110">
        <v>42721</v>
      </c>
      <c r="F692" s="111" t="s">
        <v>855</v>
      </c>
      <c r="G692" s="296" t="s">
        <v>853</v>
      </c>
      <c r="H692" s="125" t="s">
        <v>844</v>
      </c>
      <c r="I692" s="133">
        <v>584</v>
      </c>
      <c r="J692" s="133">
        <v>562</v>
      </c>
      <c r="K692" s="13">
        <f>ROUND(I692*J692,0)</f>
        <v>328208</v>
      </c>
      <c r="L692" s="113" t="s">
        <v>251</v>
      </c>
      <c r="M692" s="402" t="s">
        <v>168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/>
      </c>
      <c r="Z692" s="563"/>
    </row>
    <row r="693" spans="1:26" ht="15.75" customHeight="1">
      <c r="A693" s="120" t="str">
        <f>IF(B693&lt;&gt;"",IF(AND(B693&gt;=_TM1,B693&lt;=_TM2,OR(TH!L693="1111",TH!M693="1111")),TH!D693,""),"")</f>
        <v/>
      </c>
      <c r="B693" s="12">
        <f t="shared" si="25"/>
        <v>12</v>
      </c>
      <c r="C693" s="105">
        <f t="shared" si="26"/>
        <v>42721</v>
      </c>
      <c r="D693" s="105" t="s">
        <v>592</v>
      </c>
      <c r="E693" s="110">
        <v>42721</v>
      </c>
      <c r="F693" s="111" t="s">
        <v>856</v>
      </c>
      <c r="G693" s="296" t="s">
        <v>853</v>
      </c>
      <c r="H693" s="125" t="s">
        <v>844</v>
      </c>
      <c r="I693" s="133">
        <v>360</v>
      </c>
      <c r="J693" s="133">
        <v>475</v>
      </c>
      <c r="K693" s="13">
        <f>ROUND(I693*J693,0)</f>
        <v>171000</v>
      </c>
      <c r="L693" s="113" t="s">
        <v>251</v>
      </c>
      <c r="M693" s="402" t="s">
        <v>168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/>
      </c>
      <c r="Z693" s="563"/>
    </row>
    <row r="694" spans="1:26" ht="15.75" customHeight="1">
      <c r="A694" s="120" t="str">
        <f>IF(B694&lt;&gt;"",IF(AND(B694&gt;=_TM1,B694&lt;=_TM2,OR(TH!L694="1111",TH!M694="1111")),TH!D694,""),"")</f>
        <v/>
      </c>
      <c r="B694" s="12">
        <f t="shared" si="25"/>
        <v>12</v>
      </c>
      <c r="C694" s="105">
        <f t="shared" si="26"/>
        <v>42721</v>
      </c>
      <c r="D694" s="105" t="s">
        <v>592</v>
      </c>
      <c r="E694" s="110">
        <v>42721</v>
      </c>
      <c r="F694" s="111" t="s">
        <v>857</v>
      </c>
      <c r="G694" s="296" t="s">
        <v>853</v>
      </c>
      <c r="H694" s="125" t="s">
        <v>844</v>
      </c>
      <c r="I694" s="133">
        <v>100</v>
      </c>
      <c r="J694" s="133">
        <v>389</v>
      </c>
      <c r="K694" s="13">
        <f>ROUND(I694*J694,0)</f>
        <v>38900</v>
      </c>
      <c r="L694" s="113" t="s">
        <v>251</v>
      </c>
      <c r="M694" s="402" t="s">
        <v>168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/>
      </c>
      <c r="Z694" s="563"/>
    </row>
    <row r="695" spans="1:26" ht="15.75" customHeight="1">
      <c r="A695" s="120" t="str">
        <f>IF(B695&lt;&gt;"",IF(AND(B695&gt;=_TM1,B695&lt;=_TM2,OR(TH!L695="1111",TH!M695="1111")),TH!D695,""),"")</f>
        <v/>
      </c>
      <c r="B695" s="12">
        <f t="shared" si="25"/>
        <v>12</v>
      </c>
      <c r="C695" s="105">
        <f t="shared" si="26"/>
        <v>42721</v>
      </c>
      <c r="D695" s="105" t="s">
        <v>592</v>
      </c>
      <c r="E695" s="110">
        <v>42721</v>
      </c>
      <c r="F695" s="111" t="s">
        <v>858</v>
      </c>
      <c r="G695" s="296" t="s">
        <v>853</v>
      </c>
      <c r="H695" s="125" t="s">
        <v>844</v>
      </c>
      <c r="I695" s="133">
        <v>1108</v>
      </c>
      <c r="J695" s="133">
        <v>778</v>
      </c>
      <c r="K695" s="13">
        <f>ROUND(I695*J695,0)</f>
        <v>862024</v>
      </c>
      <c r="L695" s="113" t="s">
        <v>251</v>
      </c>
      <c r="M695" s="402" t="s">
        <v>168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/>
      </c>
      <c r="Z695" s="563"/>
    </row>
    <row r="696" spans="1:26" ht="15.75" customHeight="1">
      <c r="A696" s="120" t="str">
        <f>IF(B696&lt;&gt;"",IF(AND(B696&gt;=_TM1,B696&lt;=_TM2,OR(TH!L696="1111",TH!M696="1111")),TH!D696,""),"")</f>
        <v/>
      </c>
      <c r="B696" s="12">
        <f t="shared" si="25"/>
        <v>12</v>
      </c>
      <c r="C696" s="105">
        <f t="shared" si="26"/>
        <v>42721</v>
      </c>
      <c r="D696" s="105" t="s">
        <v>592</v>
      </c>
      <c r="E696" s="110">
        <v>42721</v>
      </c>
      <c r="F696" s="109" t="s">
        <v>854</v>
      </c>
      <c r="G696" s="296" t="s">
        <v>853</v>
      </c>
      <c r="H696" s="125" t="s">
        <v>844</v>
      </c>
      <c r="I696" s="134"/>
      <c r="J696" s="134"/>
      <c r="K696" s="13">
        <v>140013</v>
      </c>
      <c r="L696" s="113" t="s">
        <v>251</v>
      </c>
      <c r="M696" s="402" t="s">
        <v>350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/>
      </c>
      <c r="Z696" s="563"/>
    </row>
    <row r="697" spans="1:26" ht="15.75" customHeight="1">
      <c r="A697" s="120" t="str">
        <f>IF(B697&lt;&gt;"",IF(AND(B697&gt;=_TM1,B697&lt;=_TM2,OR(TH!L697="1111",TH!M697="1111")),TH!D697,""),"")</f>
        <v/>
      </c>
      <c r="B697" s="12">
        <f t="shared" si="25"/>
        <v>12</v>
      </c>
      <c r="C697" s="105">
        <f t="shared" si="26"/>
        <v>42721</v>
      </c>
      <c r="D697" s="105" t="s">
        <v>593</v>
      </c>
      <c r="E697" s="110">
        <v>42721</v>
      </c>
      <c r="F697" s="109" t="s">
        <v>811</v>
      </c>
      <c r="G697" s="296" t="s">
        <v>884</v>
      </c>
      <c r="H697" s="4" t="s">
        <v>812</v>
      </c>
      <c r="I697" s="133">
        <v>2400</v>
      </c>
      <c r="J697" s="133">
        <v>7500</v>
      </c>
      <c r="K697" s="13">
        <f>ROUND(I697*J697,0)</f>
        <v>18000000</v>
      </c>
      <c r="L697" s="113" t="s">
        <v>251</v>
      </c>
      <c r="M697" s="402" t="s">
        <v>168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/>
      </c>
      <c r="Z697" s="563"/>
    </row>
    <row r="698" spans="1:26" ht="15.75" customHeight="1">
      <c r="A698" s="120" t="str">
        <f>IF(B698&lt;&gt;"",IF(AND(B698&gt;=_TM1,B698&lt;=_TM2,OR(TH!L698="1111",TH!M698="1111")),TH!D698,""),"")</f>
        <v/>
      </c>
      <c r="B698" s="12">
        <f t="shared" si="25"/>
        <v>12</v>
      </c>
      <c r="C698" s="105">
        <f t="shared" si="26"/>
        <v>42721</v>
      </c>
      <c r="D698" s="105" t="s">
        <v>593</v>
      </c>
      <c r="E698" s="110">
        <v>42721</v>
      </c>
      <c r="F698" s="109" t="s">
        <v>494</v>
      </c>
      <c r="G698" s="296" t="s">
        <v>884</v>
      </c>
      <c r="H698" s="4" t="s">
        <v>812</v>
      </c>
      <c r="I698" s="133"/>
      <c r="J698" s="133"/>
      <c r="K698" s="13">
        <v>1800000</v>
      </c>
      <c r="L698" s="113" t="s">
        <v>251</v>
      </c>
      <c r="M698" s="402" t="s">
        <v>350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/>
      </c>
      <c r="Z698" s="563"/>
    </row>
    <row r="699" spans="1:26" ht="15.75" customHeight="1">
      <c r="A699" s="120" t="str">
        <f>IF(B699&lt;&gt;"",IF(AND(B699&gt;=_TM1,B699&lt;=_TM2,OR(TH!L699="1111",TH!M699="1111")),TH!D699,""),"")</f>
        <v>T35</v>
      </c>
      <c r="B699" s="12">
        <f t="shared" si="25"/>
        <v>12</v>
      </c>
      <c r="C699" s="105">
        <f t="shared" si="26"/>
        <v>42721</v>
      </c>
      <c r="D699" s="105" t="s">
        <v>1053</v>
      </c>
      <c r="E699" s="110">
        <v>42721</v>
      </c>
      <c r="F699" s="111" t="s">
        <v>482</v>
      </c>
      <c r="G699" s="296" t="s">
        <v>884</v>
      </c>
      <c r="H699" s="4" t="s">
        <v>812</v>
      </c>
      <c r="I699" s="134"/>
      <c r="J699" s="134"/>
      <c r="K699" s="13">
        <v>19800000</v>
      </c>
      <c r="L699" s="113" t="s">
        <v>46</v>
      </c>
      <c r="M699" s="402" t="s">
        <v>251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>x</v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/>
      </c>
      <c r="Z699" s="563"/>
    </row>
    <row r="700" spans="1:26" ht="15.75" customHeight="1">
      <c r="A700" s="120" t="str">
        <f>IF(B700&lt;&gt;"",IF(AND(B700&gt;=_TM1,B700&lt;=_TM2,OR(TH!L700="1111",TH!M700="1111")),TH!D700,""),"")</f>
        <v/>
      </c>
      <c r="B700" s="12">
        <f t="shared" si="25"/>
        <v>12</v>
      </c>
      <c r="C700" s="105">
        <f t="shared" si="26"/>
        <v>42722</v>
      </c>
      <c r="D700" s="105" t="s">
        <v>594</v>
      </c>
      <c r="E700" s="110">
        <v>42722</v>
      </c>
      <c r="F700" s="109" t="s">
        <v>811</v>
      </c>
      <c r="G700" s="296" t="s">
        <v>885</v>
      </c>
      <c r="H700" s="4" t="s">
        <v>812</v>
      </c>
      <c r="I700" s="133">
        <v>2400</v>
      </c>
      <c r="J700" s="133">
        <v>7500</v>
      </c>
      <c r="K700" s="13">
        <f>ROUND(I700*J700,0)</f>
        <v>18000000</v>
      </c>
      <c r="L700" s="113" t="s">
        <v>251</v>
      </c>
      <c r="M700" s="402" t="s">
        <v>168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/>
      </c>
      <c r="Z700" s="563"/>
    </row>
    <row r="701" spans="1:26" ht="15.75" customHeight="1">
      <c r="A701" s="120" t="str">
        <f>IF(B701&lt;&gt;"",IF(AND(B701&gt;=_TM1,B701&lt;=_TM2,OR(TH!L701="1111",TH!M701="1111")),TH!D701,""),"")</f>
        <v/>
      </c>
      <c r="B701" s="12">
        <f t="shared" si="25"/>
        <v>12</v>
      </c>
      <c r="C701" s="105">
        <f t="shared" si="26"/>
        <v>42722</v>
      </c>
      <c r="D701" s="105" t="s">
        <v>594</v>
      </c>
      <c r="E701" s="110">
        <v>42722</v>
      </c>
      <c r="F701" s="109" t="s">
        <v>494</v>
      </c>
      <c r="G701" s="296" t="s">
        <v>885</v>
      </c>
      <c r="H701" s="4" t="s">
        <v>812</v>
      </c>
      <c r="I701" s="133"/>
      <c r="J701" s="133"/>
      <c r="K701" s="13">
        <v>1800000</v>
      </c>
      <c r="L701" s="113" t="s">
        <v>251</v>
      </c>
      <c r="M701" s="402" t="s">
        <v>350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/>
      </c>
      <c r="Z701" s="563"/>
    </row>
    <row r="702" spans="1:26" ht="15.75" customHeight="1">
      <c r="A702" s="120" t="str">
        <f>IF(B702&lt;&gt;"",IF(AND(B702&gt;=_TM1,B702&lt;=_TM2,OR(TH!L702="1111",TH!M702="1111")),TH!D702,""),"")</f>
        <v>T36</v>
      </c>
      <c r="B702" s="12">
        <f t="shared" si="25"/>
        <v>12</v>
      </c>
      <c r="C702" s="105">
        <f t="shared" si="26"/>
        <v>42722</v>
      </c>
      <c r="D702" s="105" t="s">
        <v>1054</v>
      </c>
      <c r="E702" s="110">
        <v>42722</v>
      </c>
      <c r="F702" s="111" t="s">
        <v>482</v>
      </c>
      <c r="G702" s="296" t="s">
        <v>885</v>
      </c>
      <c r="H702" s="4" t="s">
        <v>812</v>
      </c>
      <c r="I702" s="134"/>
      <c r="J702" s="134"/>
      <c r="K702" s="13">
        <v>19800000</v>
      </c>
      <c r="L702" s="113" t="s">
        <v>46</v>
      </c>
      <c r="M702" s="402" t="s">
        <v>251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>x</v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/>
      </c>
      <c r="Z702" s="563"/>
    </row>
    <row r="703" spans="1:26" ht="15.75" customHeight="1">
      <c r="A703" s="120" t="str">
        <f>IF(B703&lt;&gt;"",IF(AND(B703&gt;=_TM1,B703&lt;=_TM2,OR(TH!L703="1111",TH!M703="1111")),TH!D703,""),"")</f>
        <v/>
      </c>
      <c r="B703" s="12">
        <f t="shared" si="25"/>
        <v>12</v>
      </c>
      <c r="C703" s="105">
        <f t="shared" si="26"/>
        <v>42723</v>
      </c>
      <c r="D703" s="110" t="s">
        <v>948</v>
      </c>
      <c r="E703" s="105">
        <v>42723</v>
      </c>
      <c r="F703" s="109" t="s">
        <v>442</v>
      </c>
      <c r="G703" s="296" t="s">
        <v>940</v>
      </c>
      <c r="H703" s="112" t="s">
        <v>440</v>
      </c>
      <c r="I703" s="133">
        <v>6950</v>
      </c>
      <c r="J703" s="133">
        <v>800</v>
      </c>
      <c r="K703" s="13">
        <f>ROUND(I703*J703,0)</f>
        <v>5560000</v>
      </c>
      <c r="L703" s="113" t="s">
        <v>155</v>
      </c>
      <c r="M703" s="113" t="s">
        <v>8</v>
      </c>
      <c r="N703" s="22" t="str">
        <f>IF(AND('331-CT'!$E$7=TH!H703,OR(L703="331",M703="331")),"331",IF(AND(OR(L703="131",M703="131"),H703='131-CT'!$E$7),"131",""))</f>
        <v/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/>
      </c>
      <c r="Z703" s="563">
        <v>4</v>
      </c>
    </row>
    <row r="704" spans="1:26" ht="15.75" customHeight="1">
      <c r="A704" s="120" t="str">
        <f>IF(B704&lt;&gt;"",IF(AND(B704&gt;=_TM1,B704&lt;=_TM2,OR(TH!L704="1111",TH!M704="1111")),TH!D704,""),"")</f>
        <v/>
      </c>
      <c r="B704" s="12">
        <f t="shared" si="25"/>
        <v>12</v>
      </c>
      <c r="C704" s="105">
        <f t="shared" si="26"/>
        <v>42723</v>
      </c>
      <c r="D704" s="110" t="s">
        <v>948</v>
      </c>
      <c r="E704" s="105">
        <v>42723</v>
      </c>
      <c r="F704" s="109" t="s">
        <v>443</v>
      </c>
      <c r="G704" s="296" t="s">
        <v>940</v>
      </c>
      <c r="H704" s="112" t="s">
        <v>440</v>
      </c>
      <c r="I704" s="133"/>
      <c r="J704" s="133"/>
      <c r="K704" s="401">
        <v>556000</v>
      </c>
      <c r="L704" s="113" t="s">
        <v>9</v>
      </c>
      <c r="M704" s="113" t="s">
        <v>8</v>
      </c>
      <c r="N704" s="22" t="str">
        <f>IF(AND('331-CT'!$E$7=TH!H704,OR(L704="331",M704="331")),"331",IF(AND(OR(L704="131",M704="131"),H704='131-CT'!$E$7),"131",""))</f>
        <v/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/>
      </c>
      <c r="Z704" s="563">
        <v>4</v>
      </c>
    </row>
    <row r="705" spans="1:26" ht="15.75" customHeight="1">
      <c r="A705" s="120" t="str">
        <f>IF(B705&lt;&gt;"",IF(AND(B705&gt;=_TM1,B705&lt;=_TM2,OR(TH!L705="1111",TH!M705="1111")),TH!D705,""),"")</f>
        <v>C27</v>
      </c>
      <c r="B705" s="12">
        <f t="shared" si="25"/>
        <v>12</v>
      </c>
      <c r="C705" s="105">
        <f t="shared" si="26"/>
        <v>42723</v>
      </c>
      <c r="D705" s="110" t="s">
        <v>1041</v>
      </c>
      <c r="E705" s="105">
        <v>42723</v>
      </c>
      <c r="F705" s="109" t="s">
        <v>463</v>
      </c>
      <c r="G705" s="296" t="s">
        <v>940</v>
      </c>
      <c r="H705" s="112" t="s">
        <v>440</v>
      </c>
      <c r="I705" s="133"/>
      <c r="J705" s="133"/>
      <c r="K705" s="401">
        <v>6116000</v>
      </c>
      <c r="L705" s="113" t="s">
        <v>8</v>
      </c>
      <c r="M705" s="113" t="s">
        <v>46</v>
      </c>
      <c r="N705" s="22" t="str">
        <f>IF(AND('331-CT'!$E$7=TH!H705,OR(L705="331",M705="331")),"331",IF(AND(OR(L705="131",M705="131"),H705='131-CT'!$E$7),"131",""))</f>
        <v/>
      </c>
      <c r="O705" s="22" t="str">
        <f>IF(AND($B705&gt;='111'!$N$11,$B705&lt;='111'!$O$11,OR($L705=$O$7,$M705=$O$7)),"x","")</f>
        <v>x</v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/>
      </c>
      <c r="Z705" s="563"/>
    </row>
    <row r="706" spans="1:26" ht="15.75" customHeight="1">
      <c r="A706" s="120" t="str">
        <f>IF(B706&lt;&gt;"",IF(AND(B706&gt;=_TM1,B706&lt;=_TM2,OR(TH!L706="1111",TH!M706="1111")),TH!D706,""),"")</f>
        <v>C28</v>
      </c>
      <c r="B706" s="12">
        <f t="shared" si="25"/>
        <v>12</v>
      </c>
      <c r="C706" s="105">
        <f t="shared" si="26"/>
        <v>42723</v>
      </c>
      <c r="D706" s="110" t="s">
        <v>1042</v>
      </c>
      <c r="E706" s="110">
        <v>42723</v>
      </c>
      <c r="F706" s="109" t="s">
        <v>469</v>
      </c>
      <c r="G706" s="111" t="s">
        <v>472</v>
      </c>
      <c r="H706" s="112" t="s">
        <v>486</v>
      </c>
      <c r="I706" s="133"/>
      <c r="J706" s="135"/>
      <c r="K706" s="13">
        <v>11400000</v>
      </c>
      <c r="L706" s="113" t="s">
        <v>24</v>
      </c>
      <c r="M706" s="402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>x</v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/>
      </c>
      <c r="Z706" s="563"/>
    </row>
    <row r="707" spans="1:26" ht="15.75" customHeight="1">
      <c r="A707" s="120" t="str">
        <f>IF(B707&lt;&gt;"",IF(AND(B707&gt;=_TM1,B707&lt;=_TM2,OR(TH!L707="1111",TH!M707="1111")),TH!D707,""),"")</f>
        <v/>
      </c>
      <c r="B707" s="12">
        <f t="shared" si="25"/>
        <v>12</v>
      </c>
      <c r="C707" s="105">
        <f t="shared" si="26"/>
        <v>42723</v>
      </c>
      <c r="D707" s="105" t="s">
        <v>468</v>
      </c>
      <c r="E707" s="110">
        <v>42723</v>
      </c>
      <c r="F707" s="111" t="s">
        <v>972</v>
      </c>
      <c r="G707" s="111" t="s">
        <v>472</v>
      </c>
      <c r="H707" s="112" t="s">
        <v>622</v>
      </c>
      <c r="I707" s="133"/>
      <c r="J707" s="135"/>
      <c r="K707" s="13">
        <v>11286770</v>
      </c>
      <c r="L707" s="113" t="s">
        <v>55</v>
      </c>
      <c r="M707" s="402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/>
      </c>
      <c r="Z707" s="563"/>
    </row>
    <row r="708" spans="1:26" ht="15.75" customHeight="1">
      <c r="A708" s="120" t="str">
        <f>IF(B708&lt;&gt;"",IF(AND(B708&gt;=_TM1,B708&lt;=_TM2,OR(TH!L708="1111",TH!M708="1111")),TH!D708,""),"")</f>
        <v/>
      </c>
      <c r="B708" s="12">
        <f t="shared" si="25"/>
        <v>12</v>
      </c>
      <c r="C708" s="105">
        <f t="shared" si="26"/>
        <v>42723</v>
      </c>
      <c r="D708" s="105" t="s">
        <v>468</v>
      </c>
      <c r="E708" s="110">
        <v>42723</v>
      </c>
      <c r="F708" s="111" t="s">
        <v>484</v>
      </c>
      <c r="G708" s="111" t="s">
        <v>472</v>
      </c>
      <c r="H708" s="112"/>
      <c r="I708" s="133"/>
      <c r="J708" s="135"/>
      <c r="K708" s="13">
        <v>20000</v>
      </c>
      <c r="L708" s="113" t="s">
        <v>82</v>
      </c>
      <c r="M708" s="402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>x</v>
      </c>
      <c r="Y708" s="22" t="str">
        <f>IF(AND(B708&lt;=NKC!$N$8,B708&gt;=NKC!$M$8),"x","")</f>
        <v/>
      </c>
      <c r="Z708" s="563">
        <v>4</v>
      </c>
    </row>
    <row r="709" spans="1:26" ht="15.75" customHeight="1">
      <c r="A709" s="120" t="str">
        <f>IF(B709&lt;&gt;"",IF(AND(B709&gt;=_TM1,B709&lt;=_TM2,OR(TH!L709="1111",TH!M709="1111")),TH!D709,""),"")</f>
        <v/>
      </c>
      <c r="B709" s="12">
        <f t="shared" si="25"/>
        <v>12</v>
      </c>
      <c r="C709" s="105">
        <f t="shared" si="26"/>
        <v>42723</v>
      </c>
      <c r="D709" s="105" t="s">
        <v>468</v>
      </c>
      <c r="E709" s="110">
        <v>42723</v>
      </c>
      <c r="F709" s="111" t="s">
        <v>485</v>
      </c>
      <c r="G709" s="111" t="s">
        <v>472</v>
      </c>
      <c r="H709" s="112"/>
      <c r="I709" s="133"/>
      <c r="J709" s="135"/>
      <c r="K709" s="13">
        <v>2000</v>
      </c>
      <c r="L709" s="113" t="s">
        <v>9</v>
      </c>
      <c r="M709" s="402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/>
      </c>
      <c r="Z709" s="563">
        <v>4</v>
      </c>
    </row>
    <row r="710" spans="1:26" ht="15.75" customHeight="1">
      <c r="A710" s="120" t="str">
        <f>IF(B710&lt;&gt;"",IF(AND(B710&gt;=_TM1,B710&lt;=_TM2,OR(TH!L710="1111",TH!M710="1111")),TH!D710,""),"")</f>
        <v/>
      </c>
      <c r="B710" s="12">
        <f t="shared" si="25"/>
        <v>12</v>
      </c>
      <c r="C710" s="105">
        <f t="shared" si="26"/>
        <v>42723</v>
      </c>
      <c r="D710" s="105" t="s">
        <v>595</v>
      </c>
      <c r="E710" s="110">
        <v>42723</v>
      </c>
      <c r="F710" s="109" t="s">
        <v>811</v>
      </c>
      <c r="G710" s="296" t="s">
        <v>886</v>
      </c>
      <c r="H710" s="4" t="s">
        <v>812</v>
      </c>
      <c r="I710" s="133">
        <v>2400</v>
      </c>
      <c r="J710" s="133">
        <v>7500</v>
      </c>
      <c r="K710" s="13">
        <f>ROUND(I710*J710,0)</f>
        <v>18000000</v>
      </c>
      <c r="L710" s="113" t="s">
        <v>251</v>
      </c>
      <c r="M710" s="402" t="s">
        <v>168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/>
      </c>
      <c r="Z710" s="563"/>
    </row>
    <row r="711" spans="1:26" ht="15.75" customHeight="1">
      <c r="A711" s="120" t="str">
        <f>IF(B711&lt;&gt;"",IF(AND(B711&gt;=_TM1,B711&lt;=_TM2,OR(TH!L711="1111",TH!M711="1111")),TH!D711,""),"")</f>
        <v/>
      </c>
      <c r="B711" s="12">
        <f t="shared" si="25"/>
        <v>12</v>
      </c>
      <c r="C711" s="105">
        <f t="shared" si="26"/>
        <v>42723</v>
      </c>
      <c r="D711" s="105" t="s">
        <v>595</v>
      </c>
      <c r="E711" s="110">
        <v>42723</v>
      </c>
      <c r="F711" s="109" t="s">
        <v>494</v>
      </c>
      <c r="G711" s="296" t="s">
        <v>886</v>
      </c>
      <c r="H711" s="4" t="s">
        <v>812</v>
      </c>
      <c r="I711" s="133"/>
      <c r="J711" s="133"/>
      <c r="K711" s="13">
        <v>1800000</v>
      </c>
      <c r="L711" s="113" t="s">
        <v>251</v>
      </c>
      <c r="M711" s="402" t="s">
        <v>350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/>
      </c>
      <c r="Z711" s="563"/>
    </row>
    <row r="712" spans="1:26" ht="15.75" customHeight="1">
      <c r="A712" s="120" t="str">
        <f>IF(B712&lt;&gt;"",IF(AND(B712&gt;=_TM1,B712&lt;=_TM2,OR(TH!L712="1111",TH!M712="1111")),TH!D712,""),"")</f>
        <v>T37</v>
      </c>
      <c r="B712" s="12">
        <f t="shared" si="25"/>
        <v>12</v>
      </c>
      <c r="C712" s="105">
        <f t="shared" si="26"/>
        <v>42723</v>
      </c>
      <c r="D712" s="105" t="s">
        <v>1055</v>
      </c>
      <c r="E712" s="110">
        <v>42723</v>
      </c>
      <c r="F712" s="111" t="s">
        <v>482</v>
      </c>
      <c r="G712" s="296" t="s">
        <v>886</v>
      </c>
      <c r="H712" s="4" t="s">
        <v>812</v>
      </c>
      <c r="I712" s="134"/>
      <c r="J712" s="134"/>
      <c r="K712" s="13">
        <v>19800000</v>
      </c>
      <c r="L712" s="113" t="s">
        <v>46</v>
      </c>
      <c r="M712" s="402" t="s">
        <v>251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>x</v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/>
      </c>
      <c r="Z712" s="563"/>
    </row>
    <row r="713" spans="1:26" ht="15.75" customHeight="1">
      <c r="A713" s="120" t="str">
        <f>IF(B713&lt;&gt;"",IF(AND(B713&gt;=_TM1,B713&lt;=_TM2,OR(TH!L713="1111",TH!M713="1111")),TH!D713,""),"")</f>
        <v>C29</v>
      </c>
      <c r="B713" s="12">
        <f t="shared" si="25"/>
        <v>12</v>
      </c>
      <c r="C713" s="105">
        <f t="shared" si="26"/>
        <v>42724</v>
      </c>
      <c r="D713" s="105" t="s">
        <v>1043</v>
      </c>
      <c r="E713" s="110">
        <v>42724</v>
      </c>
      <c r="F713" s="109" t="s">
        <v>469</v>
      </c>
      <c r="G713" s="111" t="s">
        <v>472</v>
      </c>
      <c r="H713" s="112" t="s">
        <v>486</v>
      </c>
      <c r="I713" s="133"/>
      <c r="J713" s="135"/>
      <c r="K713" s="13">
        <v>30000000</v>
      </c>
      <c r="L713" s="113" t="s">
        <v>24</v>
      </c>
      <c r="M713" s="402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>x</v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/>
      </c>
      <c r="Z713" s="563"/>
    </row>
    <row r="714" spans="1:26" ht="15.75" customHeight="1">
      <c r="A714" s="120" t="str">
        <f>IF(B714&lt;&gt;"",IF(AND(B714&gt;=_TM1,B714&lt;=_TM2,OR(TH!L714="1111",TH!M714="1111")),TH!D714,""),"")</f>
        <v/>
      </c>
      <c r="B714" s="12">
        <f t="shared" si="25"/>
        <v>12</v>
      </c>
      <c r="C714" s="105">
        <f t="shared" si="26"/>
        <v>42724</v>
      </c>
      <c r="D714" s="105" t="s">
        <v>468</v>
      </c>
      <c r="E714" s="110">
        <v>42724</v>
      </c>
      <c r="F714" s="111" t="s">
        <v>463</v>
      </c>
      <c r="G714" s="111" t="s">
        <v>472</v>
      </c>
      <c r="H714" s="598" t="s">
        <v>1075</v>
      </c>
      <c r="I714" s="133"/>
      <c r="J714" s="135"/>
      <c r="K714" s="13">
        <v>30000000</v>
      </c>
      <c r="L714" s="113" t="s">
        <v>8</v>
      </c>
      <c r="M714" s="402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/>
      </c>
      <c r="Z714" s="563"/>
    </row>
    <row r="715" spans="1:26" ht="15.75" customHeight="1">
      <c r="A715" s="120" t="str">
        <f>IF(B715&lt;&gt;"",IF(AND(B715&gt;=_TM1,B715&lt;=_TM2,OR(TH!L715="1111",TH!M715="1111")),TH!D715,""),"")</f>
        <v/>
      </c>
      <c r="B715" s="12">
        <f t="shared" si="25"/>
        <v>12</v>
      </c>
      <c r="C715" s="105">
        <f t="shared" si="26"/>
        <v>42724</v>
      </c>
      <c r="D715" s="105" t="s">
        <v>468</v>
      </c>
      <c r="E715" s="110">
        <v>42724</v>
      </c>
      <c r="F715" s="111" t="s">
        <v>478</v>
      </c>
      <c r="G715" s="111" t="s">
        <v>472</v>
      </c>
      <c r="H715" s="112"/>
      <c r="I715" s="133"/>
      <c r="J715" s="135"/>
      <c r="K715" s="13">
        <v>20000</v>
      </c>
      <c r="L715" s="113" t="s">
        <v>82</v>
      </c>
      <c r="M715" s="402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>x</v>
      </c>
      <c r="Y715" s="22" t="str">
        <f>IF(AND(B715&lt;=NKC!$N$8,B715&gt;=NKC!$M$8),"x","")</f>
        <v/>
      </c>
      <c r="Z715" s="563">
        <v>4</v>
      </c>
    </row>
    <row r="716" spans="1:26" ht="15.75" customHeight="1">
      <c r="A716" s="120" t="str">
        <f>IF(B716&lt;&gt;"",IF(AND(B716&gt;=_TM1,B716&lt;=_TM2,OR(TH!L716="1111",TH!M716="1111")),TH!D716,""),"")</f>
        <v/>
      </c>
      <c r="B716" s="12">
        <f t="shared" si="25"/>
        <v>12</v>
      </c>
      <c r="C716" s="105">
        <f t="shared" si="26"/>
        <v>42724</v>
      </c>
      <c r="D716" s="105" t="s">
        <v>468</v>
      </c>
      <c r="E716" s="110">
        <v>42724</v>
      </c>
      <c r="F716" s="111" t="s">
        <v>479</v>
      </c>
      <c r="G716" s="111" t="s">
        <v>472</v>
      </c>
      <c r="H716" s="112"/>
      <c r="I716" s="133"/>
      <c r="J716" s="135"/>
      <c r="K716" s="13">
        <v>2000</v>
      </c>
      <c r="L716" s="113" t="s">
        <v>9</v>
      </c>
      <c r="M716" s="402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/>
      </c>
      <c r="Z716" s="563">
        <v>4</v>
      </c>
    </row>
    <row r="717" spans="1:26" ht="15.75" customHeight="1">
      <c r="A717" s="120" t="str">
        <f>IF(B717&lt;&gt;"",IF(AND(B717&gt;=_TM1,B717&lt;=_TM2,OR(TH!L717="1111",TH!M717="1111")),TH!D717,""),"")</f>
        <v/>
      </c>
      <c r="B717" s="12">
        <f t="shared" si="25"/>
        <v>12</v>
      </c>
      <c r="C717" s="105">
        <f t="shared" si="26"/>
        <v>42724</v>
      </c>
      <c r="D717" s="105" t="s">
        <v>468</v>
      </c>
      <c r="E717" s="110">
        <v>42724</v>
      </c>
      <c r="F717" s="111" t="s">
        <v>484</v>
      </c>
      <c r="G717" s="111" t="s">
        <v>472</v>
      </c>
      <c r="H717" s="112"/>
      <c r="I717" s="133"/>
      <c r="J717" s="135"/>
      <c r="K717" s="13">
        <v>20000</v>
      </c>
      <c r="L717" s="113" t="s">
        <v>82</v>
      </c>
      <c r="M717" s="402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>x</v>
      </c>
      <c r="Y717" s="22" t="str">
        <f>IF(AND(B717&lt;=NKC!$N$8,B717&gt;=NKC!$M$8),"x","")</f>
        <v/>
      </c>
      <c r="Z717" s="563">
        <v>4</v>
      </c>
    </row>
    <row r="718" spans="1:26" ht="15.75" customHeight="1">
      <c r="A718" s="120" t="str">
        <f>IF(B718&lt;&gt;"",IF(AND(B718&gt;=_TM1,B718&lt;=_TM2,OR(TH!L718="1111",TH!M718="1111")),TH!D718,""),"")</f>
        <v/>
      </c>
      <c r="B718" s="12">
        <f t="shared" si="25"/>
        <v>12</v>
      </c>
      <c r="C718" s="105">
        <f t="shared" si="26"/>
        <v>42724</v>
      </c>
      <c r="D718" s="105" t="s">
        <v>468</v>
      </c>
      <c r="E718" s="110">
        <v>42724</v>
      </c>
      <c r="F718" s="111" t="s">
        <v>485</v>
      </c>
      <c r="G718" s="111" t="s">
        <v>472</v>
      </c>
      <c r="H718" s="112"/>
      <c r="I718" s="133"/>
      <c r="J718" s="135"/>
      <c r="K718" s="13">
        <v>2000</v>
      </c>
      <c r="L718" s="113" t="s">
        <v>9</v>
      </c>
      <c r="M718" s="402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/>
      </c>
      <c r="Z718" s="563">
        <v>4</v>
      </c>
    </row>
    <row r="719" spans="1:26" ht="15.75" customHeight="1">
      <c r="A719" s="120" t="str">
        <f>IF(B719&lt;&gt;"",IF(AND(B719&gt;=_TM1,B719&lt;=_TM2,OR(TH!L719="1111",TH!M719="1111")),TH!D719,""),"")</f>
        <v/>
      </c>
      <c r="B719" s="12">
        <f t="shared" si="25"/>
        <v>12</v>
      </c>
      <c r="C719" s="105">
        <f t="shared" si="26"/>
        <v>42724</v>
      </c>
      <c r="D719" s="105" t="s">
        <v>596</v>
      </c>
      <c r="E719" s="110">
        <v>42724</v>
      </c>
      <c r="F719" s="111" t="s">
        <v>689</v>
      </c>
      <c r="G719" s="296" t="s">
        <v>887</v>
      </c>
      <c r="H719" s="4" t="s">
        <v>688</v>
      </c>
      <c r="I719" s="133">
        <f>310+562</f>
        <v>872</v>
      </c>
      <c r="J719" s="133">
        <v>5900</v>
      </c>
      <c r="K719" s="13">
        <f>ROUND(I719*J719,0)</f>
        <v>5144800</v>
      </c>
      <c r="L719" s="113" t="s">
        <v>251</v>
      </c>
      <c r="M719" s="402" t="s">
        <v>168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/>
      </c>
      <c r="Z719" s="563"/>
    </row>
    <row r="720" spans="1:26" ht="15.75" customHeight="1">
      <c r="A720" s="120" t="str">
        <f>IF(B720&lt;&gt;"",IF(AND(B720&gt;=_TM1,B720&lt;=_TM2,OR(TH!L720="1111",TH!M720="1111")),TH!D720,""),"")</f>
        <v/>
      </c>
      <c r="B720" s="12">
        <f t="shared" si="25"/>
        <v>12</v>
      </c>
      <c r="C720" s="105">
        <f t="shared" si="26"/>
        <v>42724</v>
      </c>
      <c r="D720" s="105" t="s">
        <v>596</v>
      </c>
      <c r="E720" s="110">
        <v>42724</v>
      </c>
      <c r="F720" s="109" t="s">
        <v>494</v>
      </c>
      <c r="G720" s="296" t="s">
        <v>887</v>
      </c>
      <c r="H720" s="4" t="s">
        <v>688</v>
      </c>
      <c r="I720" s="134"/>
      <c r="J720" s="134"/>
      <c r="K720" s="13">
        <v>514480</v>
      </c>
      <c r="L720" s="113" t="s">
        <v>251</v>
      </c>
      <c r="M720" s="402" t="s">
        <v>350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/>
      </c>
      <c r="Z720" s="563"/>
    </row>
    <row r="721" spans="1:26" ht="15.75" customHeight="1">
      <c r="A721" s="120" t="str">
        <f>IF(B721&lt;&gt;"",IF(AND(B721&gt;=_TM1,B721&lt;=_TM2,OR(TH!L721="1111",TH!M721="1111")),TH!D721,""),"")</f>
        <v/>
      </c>
      <c r="B721" s="12">
        <f t="shared" ref="B721:B784" si="27">IF(C721&lt;&gt;"",MONTH(C721),"")</f>
        <v>12</v>
      </c>
      <c r="C721" s="105">
        <f t="shared" si="26"/>
        <v>42724</v>
      </c>
      <c r="D721" s="105" t="s">
        <v>597</v>
      </c>
      <c r="E721" s="110">
        <v>42724</v>
      </c>
      <c r="F721" s="109" t="s">
        <v>530</v>
      </c>
      <c r="G721" s="296" t="s">
        <v>888</v>
      </c>
      <c r="H721" s="4" t="s">
        <v>615</v>
      </c>
      <c r="I721" s="133">
        <v>243</v>
      </c>
      <c r="J721" s="133">
        <v>9300</v>
      </c>
      <c r="K721" s="13">
        <f>ROUND(I721*J721,0)</f>
        <v>2259900</v>
      </c>
      <c r="L721" s="113" t="s">
        <v>251</v>
      </c>
      <c r="M721" s="402" t="s">
        <v>168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/>
      </c>
      <c r="Z721" s="563"/>
    </row>
    <row r="722" spans="1:26" ht="15.75" customHeight="1">
      <c r="A722" s="120" t="str">
        <f>IF(B722&lt;&gt;"",IF(AND(B722&gt;=_TM1,B722&lt;=_TM2,OR(TH!L722="1111",TH!M722="1111")),TH!D722,""),"")</f>
        <v/>
      </c>
      <c r="B722" s="12">
        <f t="shared" si="27"/>
        <v>12</v>
      </c>
      <c r="C722" s="105">
        <f t="shared" si="26"/>
        <v>42724</v>
      </c>
      <c r="D722" s="105" t="s">
        <v>597</v>
      </c>
      <c r="E722" s="110">
        <v>42724</v>
      </c>
      <c r="F722" s="109" t="s">
        <v>889</v>
      </c>
      <c r="G722" s="296" t="s">
        <v>888</v>
      </c>
      <c r="H722" s="4" t="s">
        <v>615</v>
      </c>
      <c r="I722" s="133"/>
      <c r="J722" s="133"/>
      <c r="K722" s="13">
        <v>225990</v>
      </c>
      <c r="L722" s="113" t="s">
        <v>251</v>
      </c>
      <c r="M722" s="402" t="s">
        <v>350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/>
      </c>
      <c r="Z722" s="563"/>
    </row>
    <row r="723" spans="1:26" ht="15.75" customHeight="1">
      <c r="A723" s="120" t="str">
        <f>IF(B723&lt;&gt;"",IF(AND(B723&gt;=_TM1,B723&lt;=_TM2,OR(TH!L723="1111",TH!M723="1111")),TH!D723,""),"")</f>
        <v/>
      </c>
      <c r="B723" s="12">
        <f t="shared" si="27"/>
        <v>12</v>
      </c>
      <c r="C723" s="105">
        <f t="shared" si="26"/>
        <v>42724</v>
      </c>
      <c r="D723" s="105" t="s">
        <v>598</v>
      </c>
      <c r="E723" s="110">
        <v>42724</v>
      </c>
      <c r="F723" s="111" t="s">
        <v>891</v>
      </c>
      <c r="G723" s="296" t="s">
        <v>890</v>
      </c>
      <c r="H723" s="4" t="s">
        <v>892</v>
      </c>
      <c r="I723" s="133">
        <v>70</v>
      </c>
      <c r="J723" s="133">
        <v>24700</v>
      </c>
      <c r="K723" s="13">
        <f>ROUND(I723*J723,0)</f>
        <v>1729000</v>
      </c>
      <c r="L723" s="113" t="s">
        <v>251</v>
      </c>
      <c r="M723" s="402" t="s">
        <v>168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/>
      </c>
      <c r="Z723" s="563"/>
    </row>
    <row r="724" spans="1:26" ht="15.75" customHeight="1">
      <c r="A724" s="120" t="str">
        <f>IF(B724&lt;&gt;"",IF(AND(B724&gt;=_TM1,B724&lt;=_TM2,OR(TH!L724="1111",TH!M724="1111")),TH!D724,""),"")</f>
        <v/>
      </c>
      <c r="B724" s="12">
        <f t="shared" si="27"/>
        <v>12</v>
      </c>
      <c r="C724" s="105">
        <f t="shared" si="26"/>
        <v>42724</v>
      </c>
      <c r="D724" s="105" t="s">
        <v>598</v>
      </c>
      <c r="E724" s="110">
        <v>42724</v>
      </c>
      <c r="F724" s="109" t="s">
        <v>494</v>
      </c>
      <c r="G724" s="296" t="s">
        <v>890</v>
      </c>
      <c r="H724" s="4" t="s">
        <v>892</v>
      </c>
      <c r="I724" s="133"/>
      <c r="J724" s="133"/>
      <c r="K724" s="13">
        <v>172900</v>
      </c>
      <c r="L724" s="113" t="s">
        <v>251</v>
      </c>
      <c r="M724" s="402" t="s">
        <v>350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/>
      </c>
      <c r="Z724" s="563"/>
    </row>
    <row r="725" spans="1:26" ht="15.75" customHeight="1">
      <c r="A725" s="120" t="str">
        <f>IF(B725&lt;&gt;"",IF(AND(B725&gt;=_TM1,B725&lt;=_TM2,OR(TH!L725="1111",TH!M725="1111")),TH!D725,""),"")</f>
        <v/>
      </c>
      <c r="B725" s="12">
        <f t="shared" si="27"/>
        <v>12</v>
      </c>
      <c r="C725" s="105">
        <f t="shared" ref="C725:C788" si="28">E725</f>
        <v>42724</v>
      </c>
      <c r="D725" s="105" t="s">
        <v>599</v>
      </c>
      <c r="E725" s="110">
        <v>42724</v>
      </c>
      <c r="F725" s="111" t="s">
        <v>894</v>
      </c>
      <c r="G725" s="296" t="s">
        <v>893</v>
      </c>
      <c r="H725" s="125" t="s">
        <v>896</v>
      </c>
      <c r="I725" s="134">
        <v>126</v>
      </c>
      <c r="J725" s="134">
        <v>21900</v>
      </c>
      <c r="K725" s="13">
        <f>ROUND(I725*J725,0)</f>
        <v>2759400</v>
      </c>
      <c r="L725" s="113" t="s">
        <v>251</v>
      </c>
      <c r="M725" s="402" t="s">
        <v>168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/>
      </c>
      <c r="Z725" s="563"/>
    </row>
    <row r="726" spans="1:26" ht="15.75" customHeight="1">
      <c r="A726" s="120" t="str">
        <f>IF(B726&lt;&gt;"",IF(AND(B726&gt;=_TM1,B726&lt;=_TM2,OR(TH!L726="1111",TH!M726="1111")),TH!D726,""),"")</f>
        <v/>
      </c>
      <c r="B726" s="12">
        <f t="shared" si="27"/>
        <v>12</v>
      </c>
      <c r="C726" s="105">
        <f t="shared" si="28"/>
        <v>42724</v>
      </c>
      <c r="D726" s="105" t="s">
        <v>599</v>
      </c>
      <c r="E726" s="110">
        <v>42724</v>
      </c>
      <c r="F726" s="111" t="s">
        <v>895</v>
      </c>
      <c r="G726" s="296" t="s">
        <v>893</v>
      </c>
      <c r="H726" s="125" t="s">
        <v>896</v>
      </c>
      <c r="I726" s="133">
        <v>126</v>
      </c>
      <c r="J726" s="133">
        <v>800</v>
      </c>
      <c r="K726" s="13">
        <f>ROUND(I726*J726,0)</f>
        <v>100800</v>
      </c>
      <c r="L726" s="113" t="s">
        <v>251</v>
      </c>
      <c r="M726" s="402" t="s">
        <v>168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/>
      </c>
      <c r="Z726" s="563"/>
    </row>
    <row r="727" spans="1:26" ht="15.75" customHeight="1">
      <c r="A727" s="120" t="str">
        <f>IF(B727&lt;&gt;"",IF(AND(B727&gt;=_TM1,B727&lt;=_TM2,OR(TH!L727="1111",TH!M727="1111")),TH!D727,""),"")</f>
        <v/>
      </c>
      <c r="B727" s="12">
        <f t="shared" si="27"/>
        <v>12</v>
      </c>
      <c r="C727" s="105">
        <f t="shared" si="28"/>
        <v>42724</v>
      </c>
      <c r="D727" s="105" t="s">
        <v>599</v>
      </c>
      <c r="E727" s="110">
        <v>42724</v>
      </c>
      <c r="F727" s="109" t="s">
        <v>494</v>
      </c>
      <c r="G727" s="296" t="s">
        <v>893</v>
      </c>
      <c r="H727" s="125" t="s">
        <v>896</v>
      </c>
      <c r="I727" s="133"/>
      <c r="J727" s="133"/>
      <c r="K727" s="13">
        <v>286020</v>
      </c>
      <c r="L727" s="113" t="s">
        <v>251</v>
      </c>
      <c r="M727" s="402" t="s">
        <v>350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/>
      </c>
      <c r="Z727" s="563"/>
    </row>
    <row r="728" spans="1:26" ht="15.75" customHeight="1">
      <c r="A728" s="120" t="str">
        <f>IF(B728&lt;&gt;"",IF(AND(B728&gt;=_TM1,B728&lt;=_TM2,OR(TH!L728="1111",TH!M728="1111")),TH!D728,""),"")</f>
        <v/>
      </c>
      <c r="B728" s="12">
        <f t="shared" si="27"/>
        <v>12</v>
      </c>
      <c r="C728" s="105">
        <f t="shared" si="28"/>
        <v>42724</v>
      </c>
      <c r="D728" s="105" t="s">
        <v>600</v>
      </c>
      <c r="E728" s="110">
        <v>42724</v>
      </c>
      <c r="F728" s="109" t="s">
        <v>811</v>
      </c>
      <c r="G728" s="296" t="s">
        <v>897</v>
      </c>
      <c r="H728" s="4" t="s">
        <v>812</v>
      </c>
      <c r="I728" s="133">
        <v>2400</v>
      </c>
      <c r="J728" s="133">
        <v>7500</v>
      </c>
      <c r="K728" s="13">
        <f>ROUND(I728*J728,0)</f>
        <v>18000000</v>
      </c>
      <c r="L728" s="113" t="s">
        <v>251</v>
      </c>
      <c r="M728" s="402" t="s">
        <v>168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/>
      </c>
      <c r="Z728" s="563"/>
    </row>
    <row r="729" spans="1:26" ht="15.75" customHeight="1">
      <c r="A729" s="120" t="str">
        <f>IF(B729&lt;&gt;"",IF(AND(B729&gt;=_TM1,B729&lt;=_TM2,OR(TH!L729="1111",TH!M729="1111")),TH!D729,""),"")</f>
        <v/>
      </c>
      <c r="B729" s="12">
        <f t="shared" si="27"/>
        <v>12</v>
      </c>
      <c r="C729" s="105">
        <f t="shared" si="28"/>
        <v>42724</v>
      </c>
      <c r="D729" s="105" t="s">
        <v>600</v>
      </c>
      <c r="E729" s="110">
        <v>42724</v>
      </c>
      <c r="F729" s="109" t="s">
        <v>494</v>
      </c>
      <c r="G729" s="296" t="s">
        <v>897</v>
      </c>
      <c r="H729" s="4" t="s">
        <v>812</v>
      </c>
      <c r="I729" s="133"/>
      <c r="J729" s="133"/>
      <c r="K729" s="13">
        <v>1800000</v>
      </c>
      <c r="L729" s="113" t="s">
        <v>251</v>
      </c>
      <c r="M729" s="402" t="s">
        <v>350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/>
      </c>
      <c r="Z729" s="563"/>
    </row>
    <row r="730" spans="1:26" ht="15.75" customHeight="1">
      <c r="A730" s="120" t="str">
        <f>IF(B730&lt;&gt;"",IF(AND(B730&gt;=_TM1,B730&lt;=_TM2,OR(TH!L730="1111",TH!M730="1111")),TH!D730,""),"")</f>
        <v>T38</v>
      </c>
      <c r="B730" s="12">
        <f t="shared" si="27"/>
        <v>12</v>
      </c>
      <c r="C730" s="105">
        <f t="shared" si="28"/>
        <v>42724</v>
      </c>
      <c r="D730" s="105" t="s">
        <v>1056</v>
      </c>
      <c r="E730" s="110">
        <v>42724</v>
      </c>
      <c r="F730" s="111" t="s">
        <v>482</v>
      </c>
      <c r="G730" s="296" t="s">
        <v>897</v>
      </c>
      <c r="H730" s="4" t="s">
        <v>812</v>
      </c>
      <c r="I730" s="134"/>
      <c r="J730" s="134"/>
      <c r="K730" s="13">
        <v>19800000</v>
      </c>
      <c r="L730" s="113" t="s">
        <v>46</v>
      </c>
      <c r="M730" s="402" t="s">
        <v>251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>x</v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/>
      </c>
      <c r="Z730" s="563"/>
    </row>
    <row r="731" spans="1:26" ht="15.75" customHeight="1">
      <c r="A731" s="120" t="str">
        <f>IF(B731&lt;&gt;"",IF(AND(B731&gt;=_TM1,B731&lt;=_TM2,OR(TH!L731="1111",TH!M731="1111")),TH!D731,""),"")</f>
        <v/>
      </c>
      <c r="B731" s="12">
        <f t="shared" si="27"/>
        <v>12</v>
      </c>
      <c r="C731" s="105">
        <f t="shared" si="28"/>
        <v>42725</v>
      </c>
      <c r="D731" s="105" t="s">
        <v>601</v>
      </c>
      <c r="E731" s="110">
        <v>42725</v>
      </c>
      <c r="F731" s="109" t="s">
        <v>811</v>
      </c>
      <c r="G731" s="296" t="s">
        <v>898</v>
      </c>
      <c r="H731" s="4" t="s">
        <v>812</v>
      </c>
      <c r="I731" s="133">
        <v>2400</v>
      </c>
      <c r="J731" s="133">
        <v>7500</v>
      </c>
      <c r="K731" s="13">
        <f>ROUND(I731*J731,0)</f>
        <v>18000000</v>
      </c>
      <c r="L731" s="113" t="s">
        <v>251</v>
      </c>
      <c r="M731" s="402" t="s">
        <v>168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/>
      </c>
      <c r="Z731" s="563"/>
    </row>
    <row r="732" spans="1:26" ht="15.75" customHeight="1">
      <c r="A732" s="120" t="str">
        <f>IF(B732&lt;&gt;"",IF(AND(B732&gt;=_TM1,B732&lt;=_TM2,OR(TH!L732="1111",TH!M732="1111")),TH!D732,""),"")</f>
        <v/>
      </c>
      <c r="B732" s="12">
        <f t="shared" si="27"/>
        <v>12</v>
      </c>
      <c r="C732" s="105">
        <f t="shared" si="28"/>
        <v>42725</v>
      </c>
      <c r="D732" s="105" t="s">
        <v>601</v>
      </c>
      <c r="E732" s="110">
        <v>42725</v>
      </c>
      <c r="F732" s="109" t="s">
        <v>494</v>
      </c>
      <c r="G732" s="296" t="s">
        <v>898</v>
      </c>
      <c r="H732" s="4" t="s">
        <v>812</v>
      </c>
      <c r="I732" s="133"/>
      <c r="J732" s="133"/>
      <c r="K732" s="13">
        <v>1800000</v>
      </c>
      <c r="L732" s="113" t="s">
        <v>251</v>
      </c>
      <c r="M732" s="402" t="s">
        <v>350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/>
      </c>
      <c r="Z732" s="563"/>
    </row>
    <row r="733" spans="1:26" ht="15.75" customHeight="1">
      <c r="A733" s="120" t="str">
        <f>IF(B733&lt;&gt;"",IF(AND(B733&gt;=_TM1,B733&lt;=_TM2,OR(TH!L733="1111",TH!M733="1111")),TH!D733,""),"")</f>
        <v>T39</v>
      </c>
      <c r="B733" s="12">
        <f t="shared" si="27"/>
        <v>12</v>
      </c>
      <c r="C733" s="105">
        <f t="shared" si="28"/>
        <v>42725</v>
      </c>
      <c r="D733" s="105" t="s">
        <v>1057</v>
      </c>
      <c r="E733" s="110">
        <v>42725</v>
      </c>
      <c r="F733" s="111" t="s">
        <v>482</v>
      </c>
      <c r="G733" s="296" t="s">
        <v>898</v>
      </c>
      <c r="H733" s="4" t="s">
        <v>812</v>
      </c>
      <c r="I733" s="134"/>
      <c r="J733" s="134"/>
      <c r="K733" s="13">
        <v>19800000</v>
      </c>
      <c r="L733" s="113" t="s">
        <v>46</v>
      </c>
      <c r="M733" s="402" t="s">
        <v>251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>x</v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/>
      </c>
      <c r="Z733" s="563"/>
    </row>
    <row r="734" spans="1:26" ht="15.75" customHeight="1">
      <c r="A734" s="120" t="str">
        <f>IF(B734&lt;&gt;"",IF(AND(B734&gt;=_TM1,B734&lt;=_TM2,OR(TH!L734="1111",TH!M734="1111")),TH!D734,""),"")</f>
        <v/>
      </c>
      <c r="B734" s="12">
        <f t="shared" si="27"/>
        <v>12</v>
      </c>
      <c r="C734" s="105">
        <f t="shared" si="28"/>
        <v>42726</v>
      </c>
      <c r="D734" s="105" t="s">
        <v>467</v>
      </c>
      <c r="E734" s="110">
        <v>42726</v>
      </c>
      <c r="F734" s="109" t="s">
        <v>971</v>
      </c>
      <c r="G734" s="111" t="s">
        <v>472</v>
      </c>
      <c r="H734" s="112"/>
      <c r="I734" s="133"/>
      <c r="J734" s="135"/>
      <c r="K734" s="13">
        <v>11286770</v>
      </c>
      <c r="L734" s="113" t="s">
        <v>24</v>
      </c>
      <c r="M734" s="402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/>
      </c>
      <c r="Z734" s="563"/>
    </row>
    <row r="735" spans="1:26" ht="15.75" customHeight="1">
      <c r="A735" s="120" t="str">
        <f>IF(B735&lt;&gt;"",IF(AND(B735&gt;=_TM1,B735&lt;=_TM2,OR(TH!L735="1111",TH!M735="1111")),TH!D735,""),"")</f>
        <v>T40</v>
      </c>
      <c r="B735" s="12">
        <f t="shared" si="27"/>
        <v>12</v>
      </c>
      <c r="C735" s="105">
        <f t="shared" si="28"/>
        <v>42726</v>
      </c>
      <c r="D735" s="105" t="s">
        <v>1058</v>
      </c>
      <c r="E735" s="110">
        <v>42726</v>
      </c>
      <c r="F735" s="111" t="s">
        <v>483</v>
      </c>
      <c r="G735" s="111" t="s">
        <v>472</v>
      </c>
      <c r="H735" s="112" t="s">
        <v>486</v>
      </c>
      <c r="I735" s="133"/>
      <c r="J735" s="135"/>
      <c r="K735" s="13">
        <v>11300000</v>
      </c>
      <c r="L735" s="113" t="s">
        <v>46</v>
      </c>
      <c r="M735" s="402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>x</v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/>
      </c>
      <c r="Z735" s="563"/>
    </row>
    <row r="736" spans="1:26" ht="15.75" customHeight="1">
      <c r="A736" s="120" t="str">
        <f>IF(B736&lt;&gt;"",IF(AND(B736&gt;=_TM1,B736&lt;=_TM2,OR(TH!L736="1111",TH!M736="1111")),TH!D736,""),"")</f>
        <v/>
      </c>
      <c r="B736" s="12">
        <f t="shared" si="27"/>
        <v>12</v>
      </c>
      <c r="C736" s="105">
        <f t="shared" si="28"/>
        <v>42726</v>
      </c>
      <c r="D736" s="105" t="s">
        <v>602</v>
      </c>
      <c r="E736" s="110">
        <v>42726</v>
      </c>
      <c r="F736" s="111" t="s">
        <v>900</v>
      </c>
      <c r="G736" s="296" t="s">
        <v>899</v>
      </c>
      <c r="H736" s="4" t="s">
        <v>369</v>
      </c>
      <c r="I736" s="133">
        <f>230+55</f>
        <v>285</v>
      </c>
      <c r="J736" s="133">
        <v>10100</v>
      </c>
      <c r="K736" s="13">
        <f>ROUND(I736*J736,0)</f>
        <v>2878500</v>
      </c>
      <c r="L736" s="113" t="s">
        <v>251</v>
      </c>
      <c r="M736" s="402" t="s">
        <v>168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/>
      </c>
      <c r="Z736" s="563"/>
    </row>
    <row r="737" spans="1:26" ht="15.75" customHeight="1">
      <c r="A737" s="120" t="str">
        <f>IF(B737&lt;&gt;"",IF(AND(B737&gt;=_TM1,B737&lt;=_TM2,OR(TH!L737="1111",TH!M737="1111")),TH!D737,""),"")</f>
        <v/>
      </c>
      <c r="B737" s="12">
        <f t="shared" si="27"/>
        <v>12</v>
      </c>
      <c r="C737" s="105">
        <f t="shared" si="28"/>
        <v>42726</v>
      </c>
      <c r="D737" s="105" t="s">
        <v>602</v>
      </c>
      <c r="E737" s="110">
        <v>42726</v>
      </c>
      <c r="F737" s="111" t="s">
        <v>901</v>
      </c>
      <c r="G737" s="296" t="s">
        <v>899</v>
      </c>
      <c r="H737" s="4" t="s">
        <v>369</v>
      </c>
      <c r="I737" s="134">
        <v>110</v>
      </c>
      <c r="J737" s="134">
        <v>9640</v>
      </c>
      <c r="K737" s="13">
        <f>ROUND(I737*J737,0)</f>
        <v>1060400</v>
      </c>
      <c r="L737" s="113" t="s">
        <v>251</v>
      </c>
      <c r="M737" s="402" t="s">
        <v>168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/>
      </c>
      <c r="Z737" s="563"/>
    </row>
    <row r="738" spans="1:26" ht="15.75" customHeight="1">
      <c r="A738" s="120" t="str">
        <f>IF(B738&lt;&gt;"",IF(AND(B738&gt;=_TM1,B738&lt;=_TM2,OR(TH!L738="1111",TH!M738="1111")),TH!D738,""),"")</f>
        <v/>
      </c>
      <c r="B738" s="12">
        <f t="shared" si="27"/>
        <v>12</v>
      </c>
      <c r="C738" s="105">
        <f t="shared" si="28"/>
        <v>42726</v>
      </c>
      <c r="D738" s="105" t="s">
        <v>602</v>
      </c>
      <c r="E738" s="110">
        <v>42726</v>
      </c>
      <c r="F738" s="111" t="s">
        <v>902</v>
      </c>
      <c r="G738" s="296" t="s">
        <v>899</v>
      </c>
      <c r="H738" s="4" t="s">
        <v>369</v>
      </c>
      <c r="I738" s="134">
        <v>160</v>
      </c>
      <c r="J738" s="134">
        <v>9940</v>
      </c>
      <c r="K738" s="13">
        <f>ROUND(I738*J738,0)</f>
        <v>1590400</v>
      </c>
      <c r="L738" s="113" t="s">
        <v>251</v>
      </c>
      <c r="M738" s="402" t="s">
        <v>168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/>
      </c>
      <c r="Z738" s="563"/>
    </row>
    <row r="739" spans="1:26" ht="15.75" customHeight="1">
      <c r="A739" s="120" t="str">
        <f>IF(B739&lt;&gt;"",IF(AND(B739&gt;=_TM1,B739&lt;=_TM2,OR(TH!L739="1111",TH!M739="1111")),TH!D739,""),"")</f>
        <v/>
      </c>
      <c r="B739" s="12">
        <f t="shared" si="27"/>
        <v>12</v>
      </c>
      <c r="C739" s="105">
        <f t="shared" si="28"/>
        <v>42726</v>
      </c>
      <c r="D739" s="105" t="s">
        <v>602</v>
      </c>
      <c r="E739" s="110">
        <v>42726</v>
      </c>
      <c r="F739" s="111" t="s">
        <v>499</v>
      </c>
      <c r="G739" s="296" t="s">
        <v>899</v>
      </c>
      <c r="H739" s="4" t="s">
        <v>369</v>
      </c>
      <c r="I739" s="133">
        <f>220+165+165</f>
        <v>550</v>
      </c>
      <c r="J739" s="133">
        <v>14500</v>
      </c>
      <c r="K739" s="13">
        <f>ROUND(I739*J739,0)</f>
        <v>7975000</v>
      </c>
      <c r="L739" s="113" t="s">
        <v>251</v>
      </c>
      <c r="M739" s="402" t="s">
        <v>168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/>
      </c>
      <c r="Z739" s="563"/>
    </row>
    <row r="740" spans="1:26" ht="15.75" customHeight="1">
      <c r="A740" s="120" t="str">
        <f>IF(B740&lt;&gt;"",IF(AND(B740&gt;=_TM1,B740&lt;=_TM2,OR(TH!L740="1111",TH!M740="1111")),TH!D740,""),"")</f>
        <v/>
      </c>
      <c r="B740" s="12">
        <f t="shared" si="27"/>
        <v>12</v>
      </c>
      <c r="C740" s="105">
        <f t="shared" si="28"/>
        <v>42726</v>
      </c>
      <c r="D740" s="105" t="s">
        <v>602</v>
      </c>
      <c r="E740" s="110">
        <v>42726</v>
      </c>
      <c r="F740" s="109" t="s">
        <v>494</v>
      </c>
      <c r="G740" s="296" t="s">
        <v>899</v>
      </c>
      <c r="H740" s="4" t="s">
        <v>369</v>
      </c>
      <c r="I740" s="133"/>
      <c r="J740" s="133"/>
      <c r="K740" s="13">
        <v>1350430</v>
      </c>
      <c r="L740" s="113" t="s">
        <v>251</v>
      </c>
      <c r="M740" s="402" t="s">
        <v>350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/>
      </c>
      <c r="Z740" s="563"/>
    </row>
    <row r="741" spans="1:26" ht="15.75" customHeight="1">
      <c r="A741" s="120" t="str">
        <f>IF(B741&lt;&gt;"",IF(AND(B741&gt;=_TM1,B741&lt;=_TM2,OR(TH!L741="1111",TH!M741="1111")),TH!D741,""),"")</f>
        <v/>
      </c>
      <c r="B741" s="12">
        <f t="shared" si="27"/>
        <v>12</v>
      </c>
      <c r="C741" s="105">
        <f t="shared" si="28"/>
        <v>42726</v>
      </c>
      <c r="D741" s="105" t="s">
        <v>603</v>
      </c>
      <c r="E741" s="110">
        <v>42726</v>
      </c>
      <c r="F741" s="111" t="s">
        <v>904</v>
      </c>
      <c r="G741" s="296" t="s">
        <v>903</v>
      </c>
      <c r="H741" s="4" t="s">
        <v>369</v>
      </c>
      <c r="I741" s="133">
        <v>275</v>
      </c>
      <c r="J741" s="133">
        <v>18800</v>
      </c>
      <c r="K741" s="13">
        <f>ROUND(I741*J741,0)</f>
        <v>5170000</v>
      </c>
      <c r="L741" s="113" t="s">
        <v>251</v>
      </c>
      <c r="M741" s="402" t="s">
        <v>168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/>
      </c>
      <c r="Z741" s="563"/>
    </row>
    <row r="742" spans="1:26" ht="15.75" customHeight="1">
      <c r="A742" s="120" t="str">
        <f>IF(B742&lt;&gt;"",IF(AND(B742&gt;=_TM1,B742&lt;=_TM2,OR(TH!L742="1111",TH!M742="1111")),TH!D742,""),"")</f>
        <v/>
      </c>
      <c r="B742" s="12">
        <f t="shared" si="27"/>
        <v>12</v>
      </c>
      <c r="C742" s="105">
        <f t="shared" si="28"/>
        <v>42726</v>
      </c>
      <c r="D742" s="105" t="s">
        <v>603</v>
      </c>
      <c r="E742" s="110">
        <v>42726</v>
      </c>
      <c r="F742" s="111" t="s">
        <v>905</v>
      </c>
      <c r="G742" s="296" t="s">
        <v>903</v>
      </c>
      <c r="H742" s="4" t="s">
        <v>369</v>
      </c>
      <c r="I742" s="133">
        <v>66</v>
      </c>
      <c r="J742" s="133">
        <v>18000</v>
      </c>
      <c r="K742" s="13">
        <f>ROUND(I742*J742,0)</f>
        <v>1188000</v>
      </c>
      <c r="L742" s="113" t="s">
        <v>251</v>
      </c>
      <c r="M742" s="402" t="s">
        <v>168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/>
      </c>
      <c r="Z742" s="563"/>
    </row>
    <row r="743" spans="1:26" ht="15.75" customHeight="1">
      <c r="A743" s="120" t="str">
        <f>IF(B743&lt;&gt;"",IF(AND(B743&gt;=_TM1,B743&lt;=_TM2,OR(TH!L743="1111",TH!M743="1111")),TH!D743,""),"")</f>
        <v/>
      </c>
      <c r="B743" s="12">
        <f t="shared" si="27"/>
        <v>12</v>
      </c>
      <c r="C743" s="105">
        <f t="shared" si="28"/>
        <v>42726</v>
      </c>
      <c r="D743" s="105" t="s">
        <v>603</v>
      </c>
      <c r="E743" s="110">
        <v>42726</v>
      </c>
      <c r="F743" s="111" t="s">
        <v>499</v>
      </c>
      <c r="G743" s="296" t="s">
        <v>903</v>
      </c>
      <c r="H743" s="4" t="s">
        <v>369</v>
      </c>
      <c r="I743" s="133">
        <v>165</v>
      </c>
      <c r="J743" s="133">
        <v>14500</v>
      </c>
      <c r="K743" s="13">
        <f>ROUND(I743*J743,0)</f>
        <v>2392500</v>
      </c>
      <c r="L743" s="113" t="s">
        <v>251</v>
      </c>
      <c r="M743" s="402" t="s">
        <v>168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/>
      </c>
      <c r="Z743" s="563"/>
    </row>
    <row r="744" spans="1:26" ht="15.75" customHeight="1">
      <c r="A744" s="120" t="str">
        <f>IF(B744&lt;&gt;"",IF(AND(B744&gt;=_TM1,B744&lt;=_TM2,OR(TH!L744="1111",TH!M744="1111")),TH!D744,""),"")</f>
        <v/>
      </c>
      <c r="B744" s="12">
        <f t="shared" si="27"/>
        <v>12</v>
      </c>
      <c r="C744" s="105">
        <f t="shared" si="28"/>
        <v>42726</v>
      </c>
      <c r="D744" s="105" t="s">
        <v>603</v>
      </c>
      <c r="E744" s="110">
        <v>42726</v>
      </c>
      <c r="F744" s="111" t="s">
        <v>507</v>
      </c>
      <c r="G744" s="296" t="s">
        <v>903</v>
      </c>
      <c r="H744" s="4" t="s">
        <v>369</v>
      </c>
      <c r="I744" s="134">
        <v>550</v>
      </c>
      <c r="J744" s="134">
        <v>1230</v>
      </c>
      <c r="K744" s="13">
        <f>ROUND(I744*J744,0)</f>
        <v>676500</v>
      </c>
      <c r="L744" s="113" t="s">
        <v>251</v>
      </c>
      <c r="M744" s="402" t="s">
        <v>168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/>
      </c>
      <c r="Z744" s="563"/>
    </row>
    <row r="745" spans="1:26" ht="15.75" customHeight="1">
      <c r="A745" s="120" t="str">
        <f>IF(B745&lt;&gt;"",IF(AND(B745&gt;=_TM1,B745&lt;=_TM2,OR(TH!L745="1111",TH!M745="1111")),TH!D745,""),"")</f>
        <v/>
      </c>
      <c r="B745" s="12">
        <f t="shared" si="27"/>
        <v>12</v>
      </c>
      <c r="C745" s="105">
        <f t="shared" si="28"/>
        <v>42726</v>
      </c>
      <c r="D745" s="105" t="s">
        <v>603</v>
      </c>
      <c r="E745" s="110">
        <v>42726</v>
      </c>
      <c r="F745" s="111" t="s">
        <v>906</v>
      </c>
      <c r="G745" s="296" t="s">
        <v>903</v>
      </c>
      <c r="H745" s="4" t="s">
        <v>369</v>
      </c>
      <c r="I745" s="133">
        <v>132</v>
      </c>
      <c r="J745" s="133">
        <v>1100</v>
      </c>
      <c r="K745" s="13">
        <f>ROUND(I745*J745,0)</f>
        <v>145200</v>
      </c>
      <c r="L745" s="113" t="s">
        <v>251</v>
      </c>
      <c r="M745" s="402" t="s">
        <v>168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/>
      </c>
      <c r="Z745" s="563"/>
    </row>
    <row r="746" spans="1:26" ht="15.75" customHeight="1">
      <c r="A746" s="120" t="str">
        <f>IF(B746&lt;&gt;"",IF(AND(B746&gt;=_TM1,B746&lt;=_TM2,OR(TH!L746="1111",TH!M746="1111")),TH!D746,""),"")</f>
        <v/>
      </c>
      <c r="B746" s="12">
        <f t="shared" si="27"/>
        <v>12</v>
      </c>
      <c r="C746" s="105">
        <f t="shared" si="28"/>
        <v>42726</v>
      </c>
      <c r="D746" s="105" t="s">
        <v>603</v>
      </c>
      <c r="E746" s="110">
        <v>42726</v>
      </c>
      <c r="F746" s="109" t="s">
        <v>494</v>
      </c>
      <c r="G746" s="296" t="s">
        <v>903</v>
      </c>
      <c r="H746" s="4" t="s">
        <v>369</v>
      </c>
      <c r="I746" s="134"/>
      <c r="J746" s="134"/>
      <c r="K746" s="13">
        <v>957220</v>
      </c>
      <c r="L746" s="113" t="s">
        <v>251</v>
      </c>
      <c r="M746" s="402" t="s">
        <v>350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/>
      </c>
      <c r="Z746" s="563"/>
    </row>
    <row r="747" spans="1:26" ht="15.75" customHeight="1">
      <c r="A747" s="120" t="str">
        <f>IF(B747&lt;&gt;"",IF(AND(B747&gt;=_TM1,B747&lt;=_TM2,OR(TH!L747="1111",TH!M747="1111")),TH!D747,""),"")</f>
        <v/>
      </c>
      <c r="B747" s="12">
        <f t="shared" si="27"/>
        <v>12</v>
      </c>
      <c r="C747" s="105">
        <f t="shared" si="28"/>
        <v>42726</v>
      </c>
      <c r="D747" s="105" t="s">
        <v>604</v>
      </c>
      <c r="E747" s="110">
        <v>42726</v>
      </c>
      <c r="F747" s="111" t="s">
        <v>498</v>
      </c>
      <c r="G747" s="296" t="s">
        <v>907</v>
      </c>
      <c r="H747" s="4" t="s">
        <v>369</v>
      </c>
      <c r="I747" s="133">
        <f>110+55+55+51+61+51+51+51+86</f>
        <v>571</v>
      </c>
      <c r="J747" s="133">
        <v>9530</v>
      </c>
      <c r="K747" s="13">
        <f>ROUND(I747*J747,0)</f>
        <v>5441630</v>
      </c>
      <c r="L747" s="113" t="s">
        <v>251</v>
      </c>
      <c r="M747" s="402" t="s">
        <v>168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/>
      </c>
      <c r="Z747" s="563"/>
    </row>
    <row r="748" spans="1:26" ht="15.75" customHeight="1">
      <c r="A748" s="120" t="str">
        <f>IF(B748&lt;&gt;"",IF(AND(B748&gt;=_TM1,B748&lt;=_TM2,OR(TH!L748="1111",TH!M748="1111")),TH!D748,""),"")</f>
        <v/>
      </c>
      <c r="B748" s="12">
        <f t="shared" si="27"/>
        <v>12</v>
      </c>
      <c r="C748" s="105">
        <f t="shared" si="28"/>
        <v>42726</v>
      </c>
      <c r="D748" s="105" t="s">
        <v>604</v>
      </c>
      <c r="E748" s="110">
        <v>42726</v>
      </c>
      <c r="F748" s="109" t="s">
        <v>494</v>
      </c>
      <c r="G748" s="296" t="s">
        <v>907</v>
      </c>
      <c r="H748" s="4" t="s">
        <v>369</v>
      </c>
      <c r="I748" s="133"/>
      <c r="J748" s="133"/>
      <c r="K748" s="13">
        <v>544163</v>
      </c>
      <c r="L748" s="113" t="s">
        <v>251</v>
      </c>
      <c r="M748" s="402" t="s">
        <v>350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/>
      </c>
      <c r="Z748" s="563"/>
    </row>
    <row r="749" spans="1:26" ht="15.75" customHeight="1">
      <c r="A749" s="120" t="str">
        <f>IF(B749&lt;&gt;"",IF(AND(B749&gt;=_TM1,B749&lt;=_TM2,OR(TH!L749="1111",TH!M749="1111")),TH!D749,""),"")</f>
        <v/>
      </c>
      <c r="B749" s="12">
        <f t="shared" si="27"/>
        <v>12</v>
      </c>
      <c r="C749" s="105">
        <f t="shared" si="28"/>
        <v>42726</v>
      </c>
      <c r="D749" s="105" t="s">
        <v>605</v>
      </c>
      <c r="E749" s="110">
        <v>42726</v>
      </c>
      <c r="F749" s="111" t="s">
        <v>498</v>
      </c>
      <c r="G749" s="296" t="s">
        <v>908</v>
      </c>
      <c r="H749" s="4" t="s">
        <v>369</v>
      </c>
      <c r="I749" s="133">
        <f>51+51+76+101+151+51+101+51</f>
        <v>633</v>
      </c>
      <c r="J749" s="133">
        <v>9530</v>
      </c>
      <c r="K749" s="13">
        <f>ROUND(I749*J749,0)</f>
        <v>6032490</v>
      </c>
      <c r="L749" s="113" t="s">
        <v>251</v>
      </c>
      <c r="M749" s="402" t="s">
        <v>168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/>
      </c>
      <c r="Z749" s="563"/>
    </row>
    <row r="750" spans="1:26" ht="15.75" customHeight="1">
      <c r="A750" s="120" t="str">
        <f>IF(B750&lt;&gt;"",IF(AND(B750&gt;=_TM1,B750&lt;=_TM2,OR(TH!L750="1111",TH!M750="1111")),TH!D750,""),"")</f>
        <v/>
      </c>
      <c r="B750" s="12">
        <f t="shared" si="27"/>
        <v>12</v>
      </c>
      <c r="C750" s="105">
        <f t="shared" si="28"/>
        <v>42726</v>
      </c>
      <c r="D750" s="105" t="s">
        <v>605</v>
      </c>
      <c r="E750" s="110">
        <v>42726</v>
      </c>
      <c r="F750" s="109" t="s">
        <v>494</v>
      </c>
      <c r="G750" s="296" t="s">
        <v>908</v>
      </c>
      <c r="H750" s="4" t="s">
        <v>369</v>
      </c>
      <c r="I750" s="133"/>
      <c r="J750" s="133"/>
      <c r="K750" s="13">
        <v>603249</v>
      </c>
      <c r="L750" s="113" t="s">
        <v>251</v>
      </c>
      <c r="M750" s="402" t="s">
        <v>350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/>
      </c>
      <c r="Z750" s="563"/>
    </row>
    <row r="751" spans="1:26" ht="15.75" customHeight="1">
      <c r="A751" s="120" t="str">
        <f>IF(B751&lt;&gt;"",IF(AND(B751&gt;=_TM1,B751&lt;=_TM2,OR(TH!L751="1111",TH!M751="1111")),TH!D751,""),"")</f>
        <v/>
      </c>
      <c r="B751" s="12">
        <f t="shared" si="27"/>
        <v>12</v>
      </c>
      <c r="C751" s="105">
        <f t="shared" si="28"/>
        <v>42726</v>
      </c>
      <c r="D751" s="105" t="s">
        <v>606</v>
      </c>
      <c r="E751" s="110">
        <v>42726</v>
      </c>
      <c r="F751" s="111" t="s">
        <v>527</v>
      </c>
      <c r="G751" s="296" t="s">
        <v>909</v>
      </c>
      <c r="H751" s="4" t="s">
        <v>367</v>
      </c>
      <c r="I751" s="134">
        <v>288</v>
      </c>
      <c r="J751" s="134">
        <v>47449</v>
      </c>
      <c r="K751" s="13">
        <f>ROUND(I751*J751,0)</f>
        <v>13665312</v>
      </c>
      <c r="L751" s="113" t="s">
        <v>251</v>
      </c>
      <c r="M751" s="402" t="s">
        <v>168</v>
      </c>
      <c r="N751" s="22" t="str">
        <f>IF(AND('331-CT'!$E$7=TH!H751,OR(L751="331",M751="331")),"331",IF(AND(OR(L751="131",M751="131"),H751='131-CT'!$E$7),"131",""))</f>
        <v>131</v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/>
      </c>
      <c r="Z751" s="563"/>
    </row>
    <row r="752" spans="1:26" ht="15.75" customHeight="1">
      <c r="A752" s="120" t="str">
        <f>IF(B752&lt;&gt;"",IF(AND(B752&gt;=_TM1,B752&lt;=_TM2,OR(TH!L752="1111",TH!M752="1111")),TH!D752,""),"")</f>
        <v/>
      </c>
      <c r="B752" s="12">
        <f t="shared" si="27"/>
        <v>12</v>
      </c>
      <c r="C752" s="105">
        <f t="shared" si="28"/>
        <v>42726</v>
      </c>
      <c r="D752" s="105" t="s">
        <v>606</v>
      </c>
      <c r="E752" s="110">
        <v>42726</v>
      </c>
      <c r="F752" s="111" t="s">
        <v>910</v>
      </c>
      <c r="G752" s="296" t="s">
        <v>909</v>
      </c>
      <c r="H752" s="4" t="s">
        <v>367</v>
      </c>
      <c r="I752" s="133">
        <v>24</v>
      </c>
      <c r="J752" s="133">
        <v>35000</v>
      </c>
      <c r="K752" s="13">
        <f>ROUND(I752*J752,0)</f>
        <v>840000</v>
      </c>
      <c r="L752" s="113" t="s">
        <v>251</v>
      </c>
      <c r="M752" s="402" t="s">
        <v>168</v>
      </c>
      <c r="N752" s="22" t="str">
        <f>IF(AND('331-CT'!$E$7=TH!H752,OR(L752="331",M752="331")),"331",IF(AND(OR(L752="131",M752="131"),H752='131-CT'!$E$7),"131",""))</f>
        <v>131</v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/>
      </c>
      <c r="Z752" s="563"/>
    </row>
    <row r="753" spans="1:26" ht="15.75" customHeight="1">
      <c r="A753" s="120" t="str">
        <f>IF(B753&lt;&gt;"",IF(AND(B753&gt;=_TM1,B753&lt;=_TM2,OR(TH!L753="1111",TH!M753="1111")),TH!D753,""),"")</f>
        <v/>
      </c>
      <c r="B753" s="12">
        <f t="shared" si="27"/>
        <v>12</v>
      </c>
      <c r="C753" s="105">
        <f t="shared" si="28"/>
        <v>42726</v>
      </c>
      <c r="D753" s="105" t="s">
        <v>606</v>
      </c>
      <c r="E753" s="110">
        <v>42726</v>
      </c>
      <c r="F753" s="109" t="s">
        <v>494</v>
      </c>
      <c r="G753" s="296" t="s">
        <v>909</v>
      </c>
      <c r="H753" s="4" t="s">
        <v>367</v>
      </c>
      <c r="I753" s="133"/>
      <c r="J753" s="133"/>
      <c r="K753" s="13">
        <v>1450531</v>
      </c>
      <c r="L753" s="113" t="s">
        <v>251</v>
      </c>
      <c r="M753" s="402" t="s">
        <v>350</v>
      </c>
      <c r="N753" s="22" t="str">
        <f>IF(AND('331-CT'!$E$7=TH!H753,OR(L753="331",M753="331")),"331",IF(AND(OR(L753="131",M753="131"),H753='131-CT'!$E$7),"131",""))</f>
        <v>131</v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/>
      </c>
      <c r="Z753" s="563"/>
    </row>
    <row r="754" spans="1:26" ht="15.75" customHeight="1">
      <c r="A754" s="120" t="str">
        <f>IF(B754&lt;&gt;"",IF(AND(B754&gt;=_TM1,B754&lt;=_TM2,OR(TH!L754="1111",TH!M754="1111")),TH!D754,""),"")</f>
        <v/>
      </c>
      <c r="B754" s="12">
        <f t="shared" si="27"/>
        <v>12</v>
      </c>
      <c r="C754" s="105">
        <f t="shared" si="28"/>
        <v>42726</v>
      </c>
      <c r="D754" s="105" t="s">
        <v>607</v>
      </c>
      <c r="E754" s="110">
        <v>42726</v>
      </c>
      <c r="F754" s="109" t="s">
        <v>811</v>
      </c>
      <c r="G754" s="296" t="s">
        <v>911</v>
      </c>
      <c r="H754" s="4" t="s">
        <v>812</v>
      </c>
      <c r="I754" s="133">
        <v>550</v>
      </c>
      <c r="J754" s="133">
        <v>7500</v>
      </c>
      <c r="K754" s="13">
        <f>ROUND(I754*J754,0)</f>
        <v>4125000</v>
      </c>
      <c r="L754" s="113" t="s">
        <v>251</v>
      </c>
      <c r="M754" s="402" t="s">
        <v>168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/>
      </c>
      <c r="Z754" s="563"/>
    </row>
    <row r="755" spans="1:26" ht="15.75" customHeight="1">
      <c r="A755" s="120" t="str">
        <f>IF(B755&lt;&gt;"",IF(AND(B755&gt;=_TM1,B755&lt;=_TM2,OR(TH!L755="1111",TH!M755="1111")),TH!D755,""),"")</f>
        <v/>
      </c>
      <c r="B755" s="12">
        <f t="shared" si="27"/>
        <v>12</v>
      </c>
      <c r="C755" s="105">
        <f t="shared" si="28"/>
        <v>42726</v>
      </c>
      <c r="D755" s="105" t="s">
        <v>607</v>
      </c>
      <c r="E755" s="110">
        <v>42726</v>
      </c>
      <c r="F755" s="109" t="s">
        <v>494</v>
      </c>
      <c r="G755" s="296" t="s">
        <v>911</v>
      </c>
      <c r="H755" s="4" t="s">
        <v>812</v>
      </c>
      <c r="I755" s="133"/>
      <c r="J755" s="133"/>
      <c r="K755" s="13">
        <v>412500</v>
      </c>
      <c r="L755" s="113" t="s">
        <v>251</v>
      </c>
      <c r="M755" s="402" t="s">
        <v>350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/>
      </c>
      <c r="Z755" s="563"/>
    </row>
    <row r="756" spans="1:26" ht="15.75" customHeight="1">
      <c r="A756" s="120" t="str">
        <f>IF(B756&lt;&gt;"",IF(AND(B756&gt;=_TM1,B756&lt;=_TM2,OR(TH!L756="1111",TH!M756="1111")),TH!D756,""),"")</f>
        <v>T41</v>
      </c>
      <c r="B756" s="12">
        <f t="shared" si="27"/>
        <v>12</v>
      </c>
      <c r="C756" s="105">
        <f t="shared" si="28"/>
        <v>42726</v>
      </c>
      <c r="D756" s="105" t="s">
        <v>1059</v>
      </c>
      <c r="E756" s="110">
        <v>42726</v>
      </c>
      <c r="F756" s="111" t="s">
        <v>482</v>
      </c>
      <c r="G756" s="296" t="s">
        <v>911</v>
      </c>
      <c r="H756" s="4" t="s">
        <v>812</v>
      </c>
      <c r="I756" s="134"/>
      <c r="J756" s="134"/>
      <c r="K756" s="13">
        <v>4537500</v>
      </c>
      <c r="L756" s="113" t="s">
        <v>46</v>
      </c>
      <c r="M756" s="402" t="s">
        <v>251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>x</v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/>
      </c>
      <c r="Z756" s="563"/>
    </row>
    <row r="757" spans="1:26" ht="15.75" customHeight="1">
      <c r="A757" s="120" t="str">
        <f>IF(B757&lt;&gt;"",IF(AND(B757&gt;=_TM1,B757&lt;=_TM2,OR(TH!L757="1111",TH!M757="1111")),TH!D757,""),"")</f>
        <v/>
      </c>
      <c r="B757" s="12">
        <f t="shared" si="27"/>
        <v>12</v>
      </c>
      <c r="C757" s="105">
        <f t="shared" si="28"/>
        <v>42727</v>
      </c>
      <c r="D757" s="105" t="s">
        <v>608</v>
      </c>
      <c r="E757" s="110">
        <v>42727</v>
      </c>
      <c r="F757" s="109" t="s">
        <v>811</v>
      </c>
      <c r="G757" s="296" t="s">
        <v>912</v>
      </c>
      <c r="H757" s="4" t="s">
        <v>812</v>
      </c>
      <c r="I757" s="133">
        <v>2400</v>
      </c>
      <c r="J757" s="133">
        <v>7500</v>
      </c>
      <c r="K757" s="13">
        <f>ROUND(I757*J757,0)</f>
        <v>18000000</v>
      </c>
      <c r="L757" s="113" t="s">
        <v>251</v>
      </c>
      <c r="M757" s="402" t="s">
        <v>168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/>
      </c>
      <c r="Z757" s="563"/>
    </row>
    <row r="758" spans="1:26" ht="15.75" customHeight="1">
      <c r="A758" s="120" t="str">
        <f>IF(B758&lt;&gt;"",IF(AND(B758&gt;=_TM1,B758&lt;=_TM2,OR(TH!L758="1111",TH!M758="1111")),TH!D758,""),"")</f>
        <v/>
      </c>
      <c r="B758" s="12">
        <f t="shared" si="27"/>
        <v>12</v>
      </c>
      <c r="C758" s="105">
        <f t="shared" si="28"/>
        <v>42727</v>
      </c>
      <c r="D758" s="105" t="s">
        <v>608</v>
      </c>
      <c r="E758" s="110">
        <v>42727</v>
      </c>
      <c r="F758" s="109" t="s">
        <v>494</v>
      </c>
      <c r="G758" s="296" t="s">
        <v>912</v>
      </c>
      <c r="H758" s="4" t="s">
        <v>812</v>
      </c>
      <c r="I758" s="133"/>
      <c r="J758" s="133"/>
      <c r="K758" s="13">
        <v>1800000</v>
      </c>
      <c r="L758" s="113" t="s">
        <v>251</v>
      </c>
      <c r="M758" s="402" t="s">
        <v>350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/>
      </c>
      <c r="Z758" s="563"/>
    </row>
    <row r="759" spans="1:26" ht="15.75" customHeight="1">
      <c r="A759" s="120" t="str">
        <f>IF(B759&lt;&gt;"",IF(AND(B759&gt;=_TM1,B759&lt;=_TM2,OR(TH!L759="1111",TH!M759="1111")),TH!D759,""),"")</f>
        <v>T42</v>
      </c>
      <c r="B759" s="12">
        <f t="shared" si="27"/>
        <v>12</v>
      </c>
      <c r="C759" s="105">
        <f t="shared" si="28"/>
        <v>42727</v>
      </c>
      <c r="D759" s="105" t="s">
        <v>1060</v>
      </c>
      <c r="E759" s="110">
        <v>42727</v>
      </c>
      <c r="F759" s="111" t="s">
        <v>482</v>
      </c>
      <c r="G759" s="296" t="s">
        <v>912</v>
      </c>
      <c r="H759" s="4" t="s">
        <v>812</v>
      </c>
      <c r="I759" s="134"/>
      <c r="J759" s="134"/>
      <c r="K759" s="13">
        <v>19800000</v>
      </c>
      <c r="L759" s="113" t="s">
        <v>46</v>
      </c>
      <c r="M759" s="402" t="s">
        <v>251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>x</v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/>
      </c>
      <c r="Z759" s="563"/>
    </row>
    <row r="760" spans="1:26" ht="15.75" customHeight="1">
      <c r="A760" s="120" t="str">
        <f>IF(B760&lt;&gt;"",IF(AND(B760&gt;=_TM1,B760&lt;=_TM2,OR(TH!L760="1111",TH!M760="1111")),TH!D760,""),"")</f>
        <v/>
      </c>
      <c r="B760" s="12">
        <f t="shared" si="27"/>
        <v>12</v>
      </c>
      <c r="C760" s="105">
        <f t="shared" si="28"/>
        <v>42728</v>
      </c>
      <c r="D760" s="105" t="s">
        <v>609</v>
      </c>
      <c r="E760" s="110">
        <v>42728</v>
      </c>
      <c r="F760" s="111" t="s">
        <v>914</v>
      </c>
      <c r="G760" s="296" t="s">
        <v>913</v>
      </c>
      <c r="H760" s="112" t="s">
        <v>681</v>
      </c>
      <c r="I760" s="133">
        <v>1010</v>
      </c>
      <c r="J760" s="133">
        <v>12700</v>
      </c>
      <c r="K760" s="13">
        <f>ROUND(I760*J760,0)</f>
        <v>12827000</v>
      </c>
      <c r="L760" s="113" t="s">
        <v>251</v>
      </c>
      <c r="M760" s="402" t="s">
        <v>168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/>
      </c>
      <c r="Z760" s="563"/>
    </row>
    <row r="761" spans="1:26" ht="15.75" customHeight="1">
      <c r="A761" s="120" t="str">
        <f>IF(B761&lt;&gt;"",IF(AND(B761&gt;=_TM1,B761&lt;=_TM2,OR(TH!L761="1111",TH!M761="1111")),TH!D761,""),"")</f>
        <v/>
      </c>
      <c r="B761" s="12">
        <f t="shared" si="27"/>
        <v>12</v>
      </c>
      <c r="C761" s="105">
        <f t="shared" si="28"/>
        <v>42728</v>
      </c>
      <c r="D761" s="105" t="s">
        <v>609</v>
      </c>
      <c r="E761" s="110">
        <v>42728</v>
      </c>
      <c r="F761" s="111" t="s">
        <v>915</v>
      </c>
      <c r="G761" s="296" t="s">
        <v>913</v>
      </c>
      <c r="H761" s="112" t="s">
        <v>681</v>
      </c>
      <c r="I761" s="133">
        <v>1006</v>
      </c>
      <c r="J761" s="133">
        <v>10900</v>
      </c>
      <c r="K761" s="13">
        <f>ROUND(I761*J761,0)</f>
        <v>10965400</v>
      </c>
      <c r="L761" s="113" t="s">
        <v>251</v>
      </c>
      <c r="M761" s="402" t="s">
        <v>168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/>
      </c>
      <c r="Z761" s="563"/>
    </row>
    <row r="762" spans="1:26" ht="15.75" customHeight="1">
      <c r="A762" s="120" t="str">
        <f>IF(B762&lt;&gt;"",IF(AND(B762&gt;=_TM1,B762&lt;=_TM2,OR(TH!L762="1111",TH!M762="1111")),TH!D762,""),"")</f>
        <v/>
      </c>
      <c r="B762" s="12">
        <f t="shared" si="27"/>
        <v>12</v>
      </c>
      <c r="C762" s="105">
        <f t="shared" si="28"/>
        <v>42728</v>
      </c>
      <c r="D762" s="105" t="s">
        <v>609</v>
      </c>
      <c r="E762" s="110">
        <v>42728</v>
      </c>
      <c r="F762" s="109" t="s">
        <v>494</v>
      </c>
      <c r="G762" s="296" t="s">
        <v>913</v>
      </c>
      <c r="H762" s="112" t="s">
        <v>681</v>
      </c>
      <c r="I762" s="133"/>
      <c r="J762" s="133"/>
      <c r="K762" s="13">
        <v>2379240</v>
      </c>
      <c r="L762" s="113" t="s">
        <v>251</v>
      </c>
      <c r="M762" s="402" t="s">
        <v>350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/>
      </c>
      <c r="Z762" s="563"/>
    </row>
    <row r="763" spans="1:26" ht="15.75" customHeight="1">
      <c r="A763" s="120" t="str">
        <f>IF(B763&lt;&gt;"",IF(AND(B763&gt;=_TM1,B763&lt;=_TM2,OR(TH!L763="1111",TH!M763="1111")),TH!D763,""),"")</f>
        <v/>
      </c>
      <c r="B763" s="12">
        <f t="shared" si="27"/>
        <v>12</v>
      </c>
      <c r="C763" s="105">
        <f t="shared" si="28"/>
        <v>42728</v>
      </c>
      <c r="D763" s="105" t="s">
        <v>610</v>
      </c>
      <c r="E763" s="110">
        <v>42728</v>
      </c>
      <c r="F763" s="109" t="s">
        <v>811</v>
      </c>
      <c r="G763" s="296" t="s">
        <v>916</v>
      </c>
      <c r="H763" s="4" t="s">
        <v>812</v>
      </c>
      <c r="I763" s="133">
        <v>2400</v>
      </c>
      <c r="J763" s="133">
        <v>7500</v>
      </c>
      <c r="K763" s="13">
        <f>ROUND(I763*J763,0)</f>
        <v>18000000</v>
      </c>
      <c r="L763" s="113" t="s">
        <v>251</v>
      </c>
      <c r="M763" s="402" t="s">
        <v>168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/>
      </c>
      <c r="Z763" s="563"/>
    </row>
    <row r="764" spans="1:26" ht="15.75" customHeight="1">
      <c r="A764" s="120" t="str">
        <f>IF(B764&lt;&gt;"",IF(AND(B764&gt;=_TM1,B764&lt;=_TM2,OR(TH!L764="1111",TH!M764="1111")),TH!D764,""),"")</f>
        <v/>
      </c>
      <c r="B764" s="12">
        <f t="shared" si="27"/>
        <v>12</v>
      </c>
      <c r="C764" s="105">
        <f t="shared" si="28"/>
        <v>42728</v>
      </c>
      <c r="D764" s="105" t="s">
        <v>610</v>
      </c>
      <c r="E764" s="110">
        <v>42728</v>
      </c>
      <c r="F764" s="109" t="s">
        <v>494</v>
      </c>
      <c r="G764" s="296" t="s">
        <v>916</v>
      </c>
      <c r="H764" s="4" t="s">
        <v>812</v>
      </c>
      <c r="I764" s="133"/>
      <c r="J764" s="133"/>
      <c r="K764" s="13">
        <v>1800000</v>
      </c>
      <c r="L764" s="113" t="s">
        <v>251</v>
      </c>
      <c r="M764" s="402" t="s">
        <v>350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/>
      </c>
      <c r="Z764" s="563"/>
    </row>
    <row r="765" spans="1:26" ht="15.75" customHeight="1">
      <c r="A765" s="120" t="str">
        <f>IF(B765&lt;&gt;"",IF(AND(B765&gt;=_TM1,B765&lt;=_TM2,OR(TH!L765="1111",TH!M765="1111")),TH!D765,""),"")</f>
        <v>T43</v>
      </c>
      <c r="B765" s="12">
        <f t="shared" si="27"/>
        <v>12</v>
      </c>
      <c r="C765" s="105">
        <f t="shared" si="28"/>
        <v>42728</v>
      </c>
      <c r="D765" s="105" t="s">
        <v>1061</v>
      </c>
      <c r="E765" s="110">
        <v>42728</v>
      </c>
      <c r="F765" s="111" t="s">
        <v>482</v>
      </c>
      <c r="G765" s="296" t="s">
        <v>916</v>
      </c>
      <c r="H765" s="4" t="s">
        <v>812</v>
      </c>
      <c r="I765" s="134"/>
      <c r="J765" s="134"/>
      <c r="K765" s="13">
        <v>19800000</v>
      </c>
      <c r="L765" s="113" t="s">
        <v>46</v>
      </c>
      <c r="M765" s="402" t="s">
        <v>251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>x</v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/>
      </c>
      <c r="Z765" s="563"/>
    </row>
    <row r="766" spans="1:26" ht="15.75" customHeight="1">
      <c r="A766" s="120" t="str">
        <f>IF(B766&lt;&gt;"",IF(AND(B766&gt;=_TM1,B766&lt;=_TM2,OR(TH!L766="1111",TH!M766="1111")),TH!D766,""),"")</f>
        <v/>
      </c>
      <c r="B766" s="12">
        <f t="shared" si="27"/>
        <v>12</v>
      </c>
      <c r="C766" s="105">
        <f t="shared" si="28"/>
        <v>42729</v>
      </c>
      <c r="D766" s="105" t="s">
        <v>611</v>
      </c>
      <c r="E766" s="110">
        <v>42729</v>
      </c>
      <c r="F766" s="111" t="s">
        <v>918</v>
      </c>
      <c r="G766" s="296" t="s">
        <v>917</v>
      </c>
      <c r="H766" s="4" t="s">
        <v>919</v>
      </c>
      <c r="I766" s="133">
        <v>1070</v>
      </c>
      <c r="J766" s="133">
        <v>9700</v>
      </c>
      <c r="K766" s="13">
        <f>ROUND(I766*J766,0)</f>
        <v>10379000</v>
      </c>
      <c r="L766" s="113" t="s">
        <v>251</v>
      </c>
      <c r="M766" s="402" t="s">
        <v>168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/>
      </c>
      <c r="Z766" s="563"/>
    </row>
    <row r="767" spans="1:26" ht="15.75" customHeight="1">
      <c r="A767" s="120" t="str">
        <f>IF(B767&lt;&gt;"",IF(AND(B767&gt;=_TM1,B767&lt;=_TM2,OR(TH!L767="1111",TH!M767="1111")),TH!D767,""),"")</f>
        <v/>
      </c>
      <c r="B767" s="12">
        <f t="shared" si="27"/>
        <v>12</v>
      </c>
      <c r="C767" s="105">
        <f t="shared" si="28"/>
        <v>42729</v>
      </c>
      <c r="D767" s="105" t="s">
        <v>611</v>
      </c>
      <c r="E767" s="110">
        <v>42729</v>
      </c>
      <c r="F767" s="109" t="s">
        <v>494</v>
      </c>
      <c r="G767" s="296" t="s">
        <v>917</v>
      </c>
      <c r="H767" s="4" t="s">
        <v>919</v>
      </c>
      <c r="I767" s="133"/>
      <c r="J767" s="133"/>
      <c r="K767" s="13">
        <v>1037900</v>
      </c>
      <c r="L767" s="113" t="s">
        <v>251</v>
      </c>
      <c r="M767" s="402" t="s">
        <v>350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/>
      </c>
      <c r="Z767" s="563"/>
    </row>
    <row r="768" spans="1:26" ht="15.75" customHeight="1">
      <c r="A768" s="120" t="str">
        <f>IF(B768&lt;&gt;"",IF(AND(B768&gt;=_TM1,B768&lt;=_TM2,OR(TH!L768="1111",TH!M768="1111")),TH!D768,""),"")</f>
        <v/>
      </c>
      <c r="B768" s="12">
        <f t="shared" si="27"/>
        <v>12</v>
      </c>
      <c r="C768" s="105">
        <f t="shared" si="28"/>
        <v>42729</v>
      </c>
      <c r="D768" s="105" t="s">
        <v>612</v>
      </c>
      <c r="E768" s="110">
        <v>42729</v>
      </c>
      <c r="F768" s="109" t="s">
        <v>811</v>
      </c>
      <c r="G768" s="296" t="s">
        <v>920</v>
      </c>
      <c r="H768" s="4" t="s">
        <v>812</v>
      </c>
      <c r="I768" s="133">
        <v>2400</v>
      </c>
      <c r="J768" s="133">
        <v>7500</v>
      </c>
      <c r="K768" s="13">
        <f>ROUND(I768*J768,0)</f>
        <v>18000000</v>
      </c>
      <c r="L768" s="113" t="s">
        <v>251</v>
      </c>
      <c r="M768" s="402" t="s">
        <v>168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/>
      </c>
      <c r="Z768" s="563"/>
    </row>
    <row r="769" spans="1:26" ht="15.75" customHeight="1">
      <c r="A769" s="120" t="str">
        <f>IF(B769&lt;&gt;"",IF(AND(B769&gt;=_TM1,B769&lt;=_TM2,OR(TH!L769="1111",TH!M769="1111")),TH!D769,""),"")</f>
        <v/>
      </c>
      <c r="B769" s="12">
        <f t="shared" si="27"/>
        <v>12</v>
      </c>
      <c r="C769" s="105">
        <f t="shared" si="28"/>
        <v>42729</v>
      </c>
      <c r="D769" s="105" t="s">
        <v>612</v>
      </c>
      <c r="E769" s="110">
        <v>42729</v>
      </c>
      <c r="F769" s="109" t="s">
        <v>494</v>
      </c>
      <c r="G769" s="296" t="s">
        <v>920</v>
      </c>
      <c r="H769" s="4" t="s">
        <v>812</v>
      </c>
      <c r="I769" s="133"/>
      <c r="J769" s="133"/>
      <c r="K769" s="13">
        <v>1800000</v>
      </c>
      <c r="L769" s="113" t="s">
        <v>251</v>
      </c>
      <c r="M769" s="402" t="s">
        <v>350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/>
      </c>
      <c r="Z769" s="563"/>
    </row>
    <row r="770" spans="1:26" ht="15.75" customHeight="1">
      <c r="A770" s="120" t="str">
        <f>IF(B770&lt;&gt;"",IF(AND(B770&gt;=_TM1,B770&lt;=_TM2,OR(TH!L770="1111",TH!M770="1111")),TH!D770,""),"")</f>
        <v>T44</v>
      </c>
      <c r="B770" s="12">
        <f t="shared" si="27"/>
        <v>12</v>
      </c>
      <c r="C770" s="105">
        <f t="shared" si="28"/>
        <v>42729</v>
      </c>
      <c r="D770" s="105" t="s">
        <v>1062</v>
      </c>
      <c r="E770" s="110">
        <v>42729</v>
      </c>
      <c r="F770" s="111" t="s">
        <v>482</v>
      </c>
      <c r="G770" s="296" t="s">
        <v>920</v>
      </c>
      <c r="H770" s="4" t="s">
        <v>812</v>
      </c>
      <c r="I770" s="134"/>
      <c r="J770" s="134"/>
      <c r="K770" s="13">
        <v>19800000</v>
      </c>
      <c r="L770" s="113" t="s">
        <v>46</v>
      </c>
      <c r="M770" s="402" t="s">
        <v>251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>x</v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/>
      </c>
      <c r="Z770" s="563"/>
    </row>
    <row r="771" spans="1:26" ht="15.75" customHeight="1">
      <c r="A771" s="120" t="str">
        <f>IF(B771&lt;&gt;"",IF(AND(B771&gt;=_TM1,B771&lt;=_TM2,OR(TH!L771="1111",TH!M771="1111")),TH!D771,""),"")</f>
        <v>C30</v>
      </c>
      <c r="B771" s="12">
        <f t="shared" si="27"/>
        <v>12</v>
      </c>
      <c r="C771" s="105">
        <f t="shared" si="28"/>
        <v>42730</v>
      </c>
      <c r="D771" s="110" t="s">
        <v>1044</v>
      </c>
      <c r="E771" s="110">
        <v>42730</v>
      </c>
      <c r="F771" s="109" t="s">
        <v>771</v>
      </c>
      <c r="G771" s="298" t="s">
        <v>937</v>
      </c>
      <c r="H771" s="125" t="s">
        <v>938</v>
      </c>
      <c r="I771" s="133"/>
      <c r="J771" s="133"/>
      <c r="K771" s="13">
        <v>5005727</v>
      </c>
      <c r="L771" s="113" t="s">
        <v>253</v>
      </c>
      <c r="M771" s="402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>x</v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/>
      </c>
      <c r="Z771" s="563">
        <v>4</v>
      </c>
    </row>
    <row r="772" spans="1:26" ht="15.75" customHeight="1">
      <c r="A772" s="120" t="str">
        <f>IF(B772&lt;&gt;"",IF(AND(B772&gt;=_TM1,B772&lt;=_TM2,OR(TH!L772="1111",TH!M772="1111")),TH!D772,""),"")</f>
        <v>C30</v>
      </c>
      <c r="B772" s="12">
        <f t="shared" si="27"/>
        <v>12</v>
      </c>
      <c r="C772" s="105">
        <f t="shared" si="28"/>
        <v>42730</v>
      </c>
      <c r="D772" s="110" t="s">
        <v>1044</v>
      </c>
      <c r="E772" s="110">
        <v>42730</v>
      </c>
      <c r="F772" s="109" t="s">
        <v>772</v>
      </c>
      <c r="G772" s="298" t="s">
        <v>937</v>
      </c>
      <c r="H772" s="125" t="s">
        <v>938</v>
      </c>
      <c r="I772" s="133"/>
      <c r="J772" s="133"/>
      <c r="K772" s="13">
        <v>500573</v>
      </c>
      <c r="L772" s="113" t="s">
        <v>9</v>
      </c>
      <c r="M772" s="402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>x</v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/>
      </c>
      <c r="Z772" s="563">
        <v>4</v>
      </c>
    </row>
    <row r="773" spans="1:26" ht="15.75" customHeight="1">
      <c r="A773" s="120" t="str">
        <f>IF(B773&lt;&gt;"",IF(AND(B773&gt;=_TM1,B773&lt;=_TM2,OR(TH!L773="1111",TH!M773="1111")),TH!D773,""),"")</f>
        <v/>
      </c>
      <c r="B773" s="12">
        <f t="shared" si="27"/>
        <v>12</v>
      </c>
      <c r="C773" s="105">
        <f t="shared" si="28"/>
        <v>42730</v>
      </c>
      <c r="D773" s="110" t="s">
        <v>949</v>
      </c>
      <c r="E773" s="110">
        <v>42730</v>
      </c>
      <c r="F773" s="109" t="s">
        <v>860</v>
      </c>
      <c r="G773" s="298" t="s">
        <v>764</v>
      </c>
      <c r="H773" s="112" t="s">
        <v>861</v>
      </c>
      <c r="I773" s="133">
        <v>400</v>
      </c>
      <c r="J773" s="133">
        <v>23500</v>
      </c>
      <c r="K773" s="13">
        <f>ROUND(I773*J773,0)</f>
        <v>9400000</v>
      </c>
      <c r="L773" s="113" t="s">
        <v>155</v>
      </c>
      <c r="M773" s="113" t="s">
        <v>8</v>
      </c>
      <c r="N773" s="22" t="str">
        <f>IF(AND('331-CT'!$E$7=TH!H773,OR(L773="331",M773="331")),"331",IF(AND(OR(L773="131",M773="131"),H773='131-CT'!$E$7),"131",""))</f>
        <v/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/>
      </c>
      <c r="Z773" s="563">
        <v>4</v>
      </c>
    </row>
    <row r="774" spans="1:26" ht="15.75" customHeight="1">
      <c r="A774" s="120" t="str">
        <f>IF(B774&lt;&gt;"",IF(AND(B774&gt;=_TM1,B774&lt;=_TM2,OR(TH!L774="1111",TH!M774="1111")),TH!D774,""),"")</f>
        <v/>
      </c>
      <c r="B774" s="12">
        <f t="shared" si="27"/>
        <v>12</v>
      </c>
      <c r="C774" s="105">
        <f t="shared" si="28"/>
        <v>42730</v>
      </c>
      <c r="D774" s="110" t="s">
        <v>949</v>
      </c>
      <c r="E774" s="110">
        <v>42730</v>
      </c>
      <c r="F774" s="109" t="s">
        <v>859</v>
      </c>
      <c r="G774" s="298" t="s">
        <v>764</v>
      </c>
      <c r="H774" s="112" t="s">
        <v>861</v>
      </c>
      <c r="I774" s="133"/>
      <c r="J774" s="133"/>
      <c r="K774" s="13">
        <v>940000</v>
      </c>
      <c r="L774" s="113" t="s">
        <v>9</v>
      </c>
      <c r="M774" s="113" t="s">
        <v>8</v>
      </c>
      <c r="N774" s="22" t="str">
        <f>IF(AND('331-CT'!$E$7=TH!H774,OR(L774="331",M774="331")),"331",IF(AND(OR(L774="131",M774="131"),H774='131-CT'!$E$7),"131",""))</f>
        <v/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/>
      </c>
      <c r="Z774" s="563">
        <v>4</v>
      </c>
    </row>
    <row r="775" spans="1:26" ht="15.75" customHeight="1">
      <c r="A775" s="120" t="str">
        <f>IF(B775&lt;&gt;"",IF(AND(B775&gt;=_TM1,B775&lt;=_TM2,OR(TH!L775="1111",TH!M775="1111")),TH!D775,""),"")</f>
        <v>C31</v>
      </c>
      <c r="B775" s="12">
        <f t="shared" si="27"/>
        <v>12</v>
      </c>
      <c r="C775" s="105">
        <f t="shared" si="28"/>
        <v>42730</v>
      </c>
      <c r="D775" s="110" t="s">
        <v>1045</v>
      </c>
      <c r="E775" s="110">
        <v>42730</v>
      </c>
      <c r="F775" s="111" t="s">
        <v>463</v>
      </c>
      <c r="G775" s="298" t="s">
        <v>764</v>
      </c>
      <c r="H775" s="112" t="s">
        <v>861</v>
      </c>
      <c r="I775" s="133"/>
      <c r="J775" s="133"/>
      <c r="K775" s="13">
        <v>10340000</v>
      </c>
      <c r="L775" s="113" t="s">
        <v>8</v>
      </c>
      <c r="M775" s="402" t="s">
        <v>46</v>
      </c>
      <c r="N775" s="22" t="str">
        <f>IF(AND('331-CT'!$E$7=TH!H775,OR(L775="331",M775="331")),"331",IF(AND(OR(L775="131",M775="131"),H775='131-CT'!$E$7),"131",""))</f>
        <v/>
      </c>
      <c r="O775" s="22" t="str">
        <f>IF(AND($B775&gt;='111'!$N$11,$B775&lt;='111'!$O$11,OR($L775=$O$7,$M775=$O$7)),"x","")</f>
        <v>x</v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/>
      </c>
      <c r="Z775" s="563"/>
    </row>
    <row r="776" spans="1:26" ht="15.75" customHeight="1">
      <c r="A776" s="120" t="str">
        <f>IF(B776&lt;&gt;"",IF(AND(B776&gt;=_TM1,B776&lt;=_TM2,OR(TH!L776="1111",TH!M776="1111")),TH!D776,""),"")</f>
        <v/>
      </c>
      <c r="B776" s="12">
        <f t="shared" si="27"/>
        <v>12</v>
      </c>
      <c r="C776" s="105">
        <f t="shared" si="28"/>
        <v>42730</v>
      </c>
      <c r="D776" s="105" t="s">
        <v>613</v>
      </c>
      <c r="E776" s="110">
        <v>42730</v>
      </c>
      <c r="F776" s="109" t="s">
        <v>811</v>
      </c>
      <c r="G776" s="296" t="s">
        <v>921</v>
      </c>
      <c r="H776" s="4" t="s">
        <v>812</v>
      </c>
      <c r="I776" s="133">
        <v>1200</v>
      </c>
      <c r="J776" s="133">
        <v>7500</v>
      </c>
      <c r="K776" s="13">
        <f>ROUND(I776*J776,0)</f>
        <v>9000000</v>
      </c>
      <c r="L776" s="113" t="s">
        <v>251</v>
      </c>
      <c r="M776" s="402" t="s">
        <v>168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/>
      </c>
      <c r="Z776" s="563"/>
    </row>
    <row r="777" spans="1:26" ht="15.75" customHeight="1">
      <c r="A777" s="120" t="str">
        <f>IF(B777&lt;&gt;"",IF(AND(B777&gt;=_TM1,B777&lt;=_TM2,OR(TH!L777="1111",TH!M777="1111")),TH!D777,""),"")</f>
        <v/>
      </c>
      <c r="B777" s="12">
        <f t="shared" si="27"/>
        <v>12</v>
      </c>
      <c r="C777" s="105">
        <f t="shared" si="28"/>
        <v>42730</v>
      </c>
      <c r="D777" s="105" t="s">
        <v>613</v>
      </c>
      <c r="E777" s="110">
        <v>42730</v>
      </c>
      <c r="F777" s="109" t="s">
        <v>494</v>
      </c>
      <c r="G777" s="296" t="s">
        <v>921</v>
      </c>
      <c r="H777" s="4" t="s">
        <v>812</v>
      </c>
      <c r="I777" s="133"/>
      <c r="J777" s="133"/>
      <c r="K777" s="13">
        <v>900000</v>
      </c>
      <c r="L777" s="113" t="s">
        <v>251</v>
      </c>
      <c r="M777" s="402" t="s">
        <v>350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/>
      </c>
      <c r="Z777" s="563"/>
    </row>
    <row r="778" spans="1:26" ht="15.75" customHeight="1">
      <c r="A778" s="120" t="str">
        <f>IF(B778&lt;&gt;"",IF(AND(B778&gt;=_TM1,B778&lt;=_TM2,OR(TH!L778="1111",TH!M778="1111")),TH!D778,""),"")</f>
        <v>T45</v>
      </c>
      <c r="B778" s="12">
        <f t="shared" si="27"/>
        <v>12</v>
      </c>
      <c r="C778" s="105">
        <f t="shared" si="28"/>
        <v>42730</v>
      </c>
      <c r="D778" s="105" t="s">
        <v>1063</v>
      </c>
      <c r="E778" s="110">
        <v>42730</v>
      </c>
      <c r="F778" s="111" t="s">
        <v>482</v>
      </c>
      <c r="G778" s="296" t="s">
        <v>921</v>
      </c>
      <c r="H778" s="4" t="s">
        <v>812</v>
      </c>
      <c r="I778" s="134"/>
      <c r="J778" s="134"/>
      <c r="K778" s="13">
        <v>9900000</v>
      </c>
      <c r="L778" s="113" t="s">
        <v>46</v>
      </c>
      <c r="M778" s="402" t="s">
        <v>251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>x</v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/>
      </c>
      <c r="Z778" s="563"/>
    </row>
    <row r="779" spans="1:26" ht="15.75" customHeight="1">
      <c r="A779" s="120" t="str">
        <f>IF(B779&lt;&gt;"",IF(AND(B779&gt;=_TM1,B779&lt;=_TM2,OR(TH!L779="1111",TH!M779="1111")),TH!D779,""),"")</f>
        <v/>
      </c>
      <c r="B779" s="12">
        <f t="shared" si="27"/>
        <v>12</v>
      </c>
      <c r="C779" s="105">
        <f t="shared" si="28"/>
        <v>42731</v>
      </c>
      <c r="D779" s="110" t="s">
        <v>950</v>
      </c>
      <c r="E779" s="110">
        <v>42731</v>
      </c>
      <c r="F779" s="109" t="s">
        <v>862</v>
      </c>
      <c r="G779" s="298" t="s">
        <v>765</v>
      </c>
      <c r="H779" s="112" t="s">
        <v>861</v>
      </c>
      <c r="I779" s="133">
        <v>2000</v>
      </c>
      <c r="J779" s="133">
        <v>9000</v>
      </c>
      <c r="K779" s="13">
        <f>ROUND(I779*J779,0)</f>
        <v>18000000</v>
      </c>
      <c r="L779" s="113" t="s">
        <v>155</v>
      </c>
      <c r="M779" s="113" t="s">
        <v>8</v>
      </c>
      <c r="N779" s="22" t="str">
        <f>IF(AND('331-CT'!$E$7=TH!H779,OR(L779="331",M779="331")),"331",IF(AND(OR(L779="131",M779="131"),H779='131-CT'!$E$7),"131",""))</f>
        <v/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/>
      </c>
      <c r="Z779" s="563">
        <v>4</v>
      </c>
    </row>
    <row r="780" spans="1:26" ht="15.75" customHeight="1">
      <c r="A780" s="120" t="str">
        <f>IF(B780&lt;&gt;"",IF(AND(B780&gt;=_TM1,B780&lt;=_TM2,OR(TH!L780="1111",TH!M780="1111")),TH!D780,""),"")</f>
        <v/>
      </c>
      <c r="B780" s="12">
        <f t="shared" si="27"/>
        <v>12</v>
      </c>
      <c r="C780" s="105">
        <f t="shared" si="28"/>
        <v>42731</v>
      </c>
      <c r="D780" s="110" t="s">
        <v>950</v>
      </c>
      <c r="E780" s="110">
        <v>42731</v>
      </c>
      <c r="F780" s="109" t="s">
        <v>869</v>
      </c>
      <c r="G780" s="298" t="s">
        <v>765</v>
      </c>
      <c r="H780" s="112" t="s">
        <v>861</v>
      </c>
      <c r="I780" s="133"/>
      <c r="J780" s="133"/>
      <c r="K780" s="13">
        <v>1800000</v>
      </c>
      <c r="L780" s="113" t="s">
        <v>9</v>
      </c>
      <c r="M780" s="113" t="s">
        <v>8</v>
      </c>
      <c r="N780" s="22" t="str">
        <f>IF(AND('331-CT'!$E$7=TH!H780,OR(L780="331",M780="331")),"331",IF(AND(OR(L780="131",M780="131"),H780='131-CT'!$E$7),"131",""))</f>
        <v/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/>
      </c>
      <c r="Z780" s="563">
        <v>4</v>
      </c>
    </row>
    <row r="781" spans="1:26" ht="15.75" customHeight="1">
      <c r="A781" s="120" t="str">
        <f>IF(B781&lt;&gt;"",IF(AND(B781&gt;=_TM1,B781&lt;=_TM2,OR(TH!L781="1111",TH!M781="1111")),TH!D781,""),"")</f>
        <v>C32</v>
      </c>
      <c r="B781" s="12">
        <f t="shared" si="27"/>
        <v>12</v>
      </c>
      <c r="C781" s="105">
        <f t="shared" si="28"/>
        <v>42731</v>
      </c>
      <c r="D781" s="110" t="s">
        <v>1046</v>
      </c>
      <c r="E781" s="110">
        <v>42731</v>
      </c>
      <c r="F781" s="111" t="s">
        <v>463</v>
      </c>
      <c r="G781" s="298" t="s">
        <v>765</v>
      </c>
      <c r="H781" s="112" t="s">
        <v>861</v>
      </c>
      <c r="I781" s="133"/>
      <c r="J781" s="133"/>
      <c r="K781" s="13">
        <v>19800000</v>
      </c>
      <c r="L781" s="113" t="s">
        <v>8</v>
      </c>
      <c r="M781" s="402" t="s">
        <v>46</v>
      </c>
      <c r="N781" s="22" t="str">
        <f>IF(AND('331-CT'!$E$7=TH!H781,OR(L781="331",M781="331")),"331",IF(AND(OR(L781="131",M781="131"),H781='131-CT'!$E$7),"131",""))</f>
        <v/>
      </c>
      <c r="O781" s="22" t="str">
        <f>IF(AND($B781&gt;='111'!$N$11,$B781&lt;='111'!$O$11,OR($L781=$O$7,$M781=$O$7)),"x","")</f>
        <v>x</v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/>
      </c>
      <c r="Z781" s="563"/>
    </row>
    <row r="782" spans="1:26" ht="15.75" customHeight="1">
      <c r="A782" s="120" t="str">
        <f>IF(B782&lt;&gt;"",IF(AND(B782&gt;=_TM1,B782&lt;=_TM2,OR(TH!L782="1111",TH!M782="1111")),TH!D782,""),"")</f>
        <v/>
      </c>
      <c r="B782" s="12">
        <f t="shared" si="27"/>
        <v>12</v>
      </c>
      <c r="C782" s="105">
        <f t="shared" si="28"/>
        <v>42731</v>
      </c>
      <c r="D782" s="105" t="s">
        <v>467</v>
      </c>
      <c r="E782" s="110">
        <v>42731</v>
      </c>
      <c r="F782" s="109" t="s">
        <v>482</v>
      </c>
      <c r="G782" s="111" t="s">
        <v>472</v>
      </c>
      <c r="H782" s="4" t="s">
        <v>621</v>
      </c>
      <c r="I782" s="133"/>
      <c r="J782" s="135"/>
      <c r="K782" s="13">
        <v>5689640</v>
      </c>
      <c r="L782" s="113" t="s">
        <v>24</v>
      </c>
      <c r="M782" s="402" t="s">
        <v>251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/>
      </c>
      <c r="Z782" s="563"/>
    </row>
    <row r="783" spans="1:26" ht="15.75" customHeight="1">
      <c r="A783" s="120" t="str">
        <f>IF(B783&lt;&gt;"",IF(AND(B783&gt;=_TM1,B783&lt;=_TM2,OR(TH!L783="1111",TH!M783="1111")),TH!D783,""),"")</f>
        <v/>
      </c>
      <c r="B783" s="12">
        <f t="shared" si="27"/>
        <v>12</v>
      </c>
      <c r="C783" s="105">
        <f t="shared" si="28"/>
        <v>42731</v>
      </c>
      <c r="D783" s="105" t="s">
        <v>961</v>
      </c>
      <c r="E783" s="110">
        <v>42731</v>
      </c>
      <c r="F783" s="109" t="s">
        <v>811</v>
      </c>
      <c r="G783" s="296" t="s">
        <v>922</v>
      </c>
      <c r="H783" s="4" t="s">
        <v>812</v>
      </c>
      <c r="I783" s="133">
        <v>1380</v>
      </c>
      <c r="J783" s="133">
        <v>7500</v>
      </c>
      <c r="K783" s="13">
        <f>ROUND(I783*J783,0)</f>
        <v>10350000</v>
      </c>
      <c r="L783" s="113" t="s">
        <v>251</v>
      </c>
      <c r="M783" s="402" t="s">
        <v>168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/>
      </c>
      <c r="Z783" s="563"/>
    </row>
    <row r="784" spans="1:26" ht="15.75" customHeight="1">
      <c r="A784" s="120" t="str">
        <f>IF(B784&lt;&gt;"",IF(AND(B784&gt;=_TM1,B784&lt;=_TM2,OR(TH!L784="1111",TH!M784="1111")),TH!D784,""),"")</f>
        <v/>
      </c>
      <c r="B784" s="12">
        <f t="shared" si="27"/>
        <v>12</v>
      </c>
      <c r="C784" s="105">
        <f t="shared" si="28"/>
        <v>42731</v>
      </c>
      <c r="D784" s="105" t="s">
        <v>961</v>
      </c>
      <c r="E784" s="110">
        <v>42731</v>
      </c>
      <c r="F784" s="109" t="s">
        <v>494</v>
      </c>
      <c r="G784" s="296" t="s">
        <v>922</v>
      </c>
      <c r="H784" s="4" t="s">
        <v>812</v>
      </c>
      <c r="I784" s="133"/>
      <c r="J784" s="133"/>
      <c r="K784" s="13">
        <v>1035000</v>
      </c>
      <c r="L784" s="113" t="s">
        <v>251</v>
      </c>
      <c r="M784" s="402" t="s">
        <v>350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/>
      </c>
      <c r="Z784" s="563"/>
    </row>
    <row r="785" spans="1:26" ht="15.75" customHeight="1">
      <c r="A785" s="120" t="str">
        <f>IF(B785&lt;&gt;"",IF(AND(B785&gt;=_TM1,B785&lt;=_TM2,OR(TH!L785="1111",TH!M785="1111")),TH!D785,""),"")</f>
        <v>T46</v>
      </c>
      <c r="B785" s="12">
        <f t="shared" ref="B785:B843" si="29">IF(C785&lt;&gt;"",MONTH(C785),"")</f>
        <v>12</v>
      </c>
      <c r="C785" s="105">
        <f t="shared" si="28"/>
        <v>42731</v>
      </c>
      <c r="D785" s="105" t="s">
        <v>1064</v>
      </c>
      <c r="E785" s="110">
        <v>42731</v>
      </c>
      <c r="F785" s="111" t="s">
        <v>482</v>
      </c>
      <c r="G785" s="296" t="s">
        <v>922</v>
      </c>
      <c r="H785" s="4" t="s">
        <v>812</v>
      </c>
      <c r="I785" s="134"/>
      <c r="J785" s="134"/>
      <c r="K785" s="13">
        <v>11385000</v>
      </c>
      <c r="L785" s="113" t="s">
        <v>46</v>
      </c>
      <c r="M785" s="402" t="s">
        <v>251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>x</v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/>
      </c>
      <c r="Z785" s="563"/>
    </row>
    <row r="786" spans="1:26" ht="15.75" customHeight="1">
      <c r="A786" s="120" t="str">
        <f>IF(B786&lt;&gt;"",IF(AND(B786&gt;=_TM1,B786&lt;=_TM2,OR(TH!L786="1111",TH!M786="1111")),TH!D786,""),"")</f>
        <v/>
      </c>
      <c r="B786" s="12">
        <f t="shared" si="29"/>
        <v>12</v>
      </c>
      <c r="C786" s="105">
        <f t="shared" si="28"/>
        <v>42732</v>
      </c>
      <c r="D786" s="110" t="s">
        <v>951</v>
      </c>
      <c r="E786" s="105">
        <v>42732</v>
      </c>
      <c r="F786" s="109" t="s">
        <v>442</v>
      </c>
      <c r="G786" s="296" t="s">
        <v>936</v>
      </c>
      <c r="H786" s="112" t="s">
        <v>440</v>
      </c>
      <c r="I786" s="133">
        <v>19710</v>
      </c>
      <c r="J786" s="133">
        <v>800</v>
      </c>
      <c r="K786" s="13">
        <f>ROUND(I786*J786,0)</f>
        <v>15768000</v>
      </c>
      <c r="L786" s="113" t="s">
        <v>155</v>
      </c>
      <c r="M786" s="113" t="s">
        <v>8</v>
      </c>
      <c r="N786" s="22" t="str">
        <f>IF(AND('331-CT'!$E$7=TH!H786,OR(L786="331",M786="331")),"331",IF(AND(OR(L786="131",M786="131"),H786='131-CT'!$E$7),"131",""))</f>
        <v/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/>
      </c>
      <c r="Z786" s="563">
        <v>4</v>
      </c>
    </row>
    <row r="787" spans="1:26" ht="15.75" customHeight="1">
      <c r="A787" s="120" t="str">
        <f>IF(B787&lt;&gt;"",IF(AND(B787&gt;=_TM1,B787&lt;=_TM2,OR(TH!L787="1111",TH!M787="1111")),TH!D787,""),"")</f>
        <v/>
      </c>
      <c r="B787" s="12">
        <f t="shared" si="29"/>
        <v>12</v>
      </c>
      <c r="C787" s="105">
        <f t="shared" si="28"/>
        <v>42732</v>
      </c>
      <c r="D787" s="110" t="s">
        <v>951</v>
      </c>
      <c r="E787" s="105">
        <v>42732</v>
      </c>
      <c r="F787" s="109" t="s">
        <v>443</v>
      </c>
      <c r="G787" s="296" t="s">
        <v>936</v>
      </c>
      <c r="H787" s="112" t="s">
        <v>440</v>
      </c>
      <c r="I787" s="133"/>
      <c r="J787" s="133"/>
      <c r="K787" s="401">
        <v>1576800</v>
      </c>
      <c r="L787" s="113" t="s">
        <v>9</v>
      </c>
      <c r="M787" s="113" t="s">
        <v>8</v>
      </c>
      <c r="N787" s="22" t="str">
        <f>IF(AND('331-CT'!$E$7=TH!H787,OR(L787="331",M787="331")),"331",IF(AND(OR(L787="131",M787="131"),H787='131-CT'!$E$7),"131",""))</f>
        <v/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/>
      </c>
      <c r="Z787" s="563">
        <v>4</v>
      </c>
    </row>
    <row r="788" spans="1:26" ht="15.75" customHeight="1">
      <c r="A788" s="120" t="str">
        <f>IF(B788&lt;&gt;"",IF(AND(B788&gt;=_TM1,B788&lt;=_TM2,OR(TH!L788="1111",TH!M788="1111")),TH!D788,""),"")</f>
        <v>C33</v>
      </c>
      <c r="B788" s="12">
        <f t="shared" si="29"/>
        <v>12</v>
      </c>
      <c r="C788" s="105">
        <f t="shared" si="28"/>
        <v>42732</v>
      </c>
      <c r="D788" s="110" t="s">
        <v>1047</v>
      </c>
      <c r="E788" s="105">
        <v>42732</v>
      </c>
      <c r="F788" s="109" t="s">
        <v>463</v>
      </c>
      <c r="G788" s="296" t="s">
        <v>936</v>
      </c>
      <c r="H788" s="112" t="s">
        <v>440</v>
      </c>
      <c r="I788" s="133"/>
      <c r="J788" s="133"/>
      <c r="K788" s="401">
        <v>17344800</v>
      </c>
      <c r="L788" s="113" t="s">
        <v>8</v>
      </c>
      <c r="M788" s="113" t="s">
        <v>46</v>
      </c>
      <c r="N788" s="22" t="str">
        <f>IF(AND('331-CT'!$E$7=TH!H788,OR(L788="331",M788="331")),"331",IF(AND(OR(L788="131",M788="131"),H788='131-CT'!$E$7),"131",""))</f>
        <v/>
      </c>
      <c r="O788" s="22" t="str">
        <f>IF(AND($B788&gt;='111'!$N$11,$B788&lt;='111'!$O$11,OR($L788=$O$7,$M788=$O$7)),"x","")</f>
        <v>x</v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/>
      </c>
      <c r="Z788" s="563"/>
    </row>
    <row r="789" spans="1:26" ht="15.75" customHeight="1">
      <c r="A789" s="120" t="str">
        <f>IF(B789&lt;&gt;"",IF(AND(B789&gt;=_TM1,B789&lt;=_TM2,OR(TH!L789="1111",TH!M789="1111")),TH!D789,""),"")</f>
        <v>T47</v>
      </c>
      <c r="B789" s="12">
        <f t="shared" si="29"/>
        <v>12</v>
      </c>
      <c r="C789" s="105">
        <f t="shared" ref="C789:C843" si="30">E789</f>
        <v>42732</v>
      </c>
      <c r="D789" s="105" t="s">
        <v>1065</v>
      </c>
      <c r="E789" s="110">
        <v>42732</v>
      </c>
      <c r="F789" s="111" t="s">
        <v>483</v>
      </c>
      <c r="G789" s="111" t="s">
        <v>472</v>
      </c>
      <c r="H789" s="112" t="s">
        <v>486</v>
      </c>
      <c r="I789" s="133"/>
      <c r="J789" s="135"/>
      <c r="K789" s="13">
        <v>5500000</v>
      </c>
      <c r="L789" s="113" t="s">
        <v>46</v>
      </c>
      <c r="M789" s="402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>x</v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/>
      </c>
      <c r="Z789" s="563"/>
    </row>
    <row r="790" spans="1:26" ht="15.75" customHeight="1">
      <c r="A790" s="120" t="str">
        <f>IF(B790&lt;&gt;"",IF(AND(B790&gt;=_TM1,B790&lt;=_TM2,OR(TH!L790="1111",TH!M790="1111")),TH!D790,""),"")</f>
        <v/>
      </c>
      <c r="B790" s="12">
        <f t="shared" si="29"/>
        <v>12</v>
      </c>
      <c r="C790" s="105">
        <f t="shared" si="30"/>
        <v>42732</v>
      </c>
      <c r="D790" s="105" t="s">
        <v>962</v>
      </c>
      <c r="E790" s="110">
        <v>42732</v>
      </c>
      <c r="F790" s="109" t="s">
        <v>811</v>
      </c>
      <c r="G790" s="296" t="s">
        <v>923</v>
      </c>
      <c r="H790" s="4" t="s">
        <v>812</v>
      </c>
      <c r="I790" s="133">
        <v>2030</v>
      </c>
      <c r="J790" s="133">
        <v>7500</v>
      </c>
      <c r="K790" s="13">
        <f>ROUND(I790*J790,0)</f>
        <v>15225000</v>
      </c>
      <c r="L790" s="113" t="s">
        <v>251</v>
      </c>
      <c r="M790" s="402" t="s">
        <v>168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/>
      </c>
      <c r="Z790" s="563"/>
    </row>
    <row r="791" spans="1:26" ht="15.75" customHeight="1">
      <c r="A791" s="120" t="str">
        <f>IF(B791&lt;&gt;"",IF(AND(B791&gt;=_TM1,B791&lt;=_TM2,OR(TH!L791="1111",TH!M791="1111")),TH!D791,""),"")</f>
        <v/>
      </c>
      <c r="B791" s="12">
        <f t="shared" si="29"/>
        <v>12</v>
      </c>
      <c r="C791" s="105">
        <f t="shared" si="30"/>
        <v>42732</v>
      </c>
      <c r="D791" s="105" t="s">
        <v>962</v>
      </c>
      <c r="E791" s="110">
        <v>42732</v>
      </c>
      <c r="F791" s="109" t="s">
        <v>494</v>
      </c>
      <c r="G791" s="296" t="s">
        <v>923</v>
      </c>
      <c r="H791" s="4" t="s">
        <v>812</v>
      </c>
      <c r="I791" s="133"/>
      <c r="J791" s="133"/>
      <c r="K791" s="13">
        <v>1522500</v>
      </c>
      <c r="L791" s="113" t="s">
        <v>251</v>
      </c>
      <c r="M791" s="402" t="s">
        <v>350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/>
      </c>
      <c r="Z791" s="563"/>
    </row>
    <row r="792" spans="1:26" ht="15.75" customHeight="1">
      <c r="A792" s="120" t="str">
        <f>IF(B792&lt;&gt;"",IF(AND(B792&gt;=_TM1,B792&lt;=_TM2,OR(TH!L792="1111",TH!M792="1111")),TH!D792,""),"")</f>
        <v>T48</v>
      </c>
      <c r="B792" s="12">
        <f t="shared" si="29"/>
        <v>12</v>
      </c>
      <c r="C792" s="105">
        <f t="shared" si="30"/>
        <v>42732</v>
      </c>
      <c r="D792" s="105" t="s">
        <v>1066</v>
      </c>
      <c r="E792" s="110">
        <v>42732</v>
      </c>
      <c r="F792" s="111" t="s">
        <v>482</v>
      </c>
      <c r="G792" s="296" t="s">
        <v>923</v>
      </c>
      <c r="H792" s="4" t="s">
        <v>812</v>
      </c>
      <c r="I792" s="134"/>
      <c r="J792" s="134"/>
      <c r="K792" s="13">
        <v>16747500</v>
      </c>
      <c r="L792" s="113" t="s">
        <v>46</v>
      </c>
      <c r="M792" s="402" t="s">
        <v>251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>x</v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/>
      </c>
      <c r="Z792" s="563"/>
    </row>
    <row r="793" spans="1:26" ht="15.75" customHeight="1">
      <c r="A793" s="120" t="str">
        <f>IF(B793&lt;&gt;"",IF(AND(B793&gt;=_TM1,B793&lt;=_TM2,OR(TH!L793="1111",TH!M793="1111")),TH!D793,""),"")</f>
        <v/>
      </c>
      <c r="B793" s="12">
        <f t="shared" si="29"/>
        <v>12</v>
      </c>
      <c r="C793" s="105">
        <f t="shared" si="30"/>
        <v>42732</v>
      </c>
      <c r="D793" s="105" t="s">
        <v>963</v>
      </c>
      <c r="E793" s="110">
        <v>42732</v>
      </c>
      <c r="F793" s="111" t="s">
        <v>959</v>
      </c>
      <c r="G793" s="296" t="s">
        <v>958</v>
      </c>
      <c r="H793" s="4" t="s">
        <v>960</v>
      </c>
      <c r="I793" s="134">
        <v>188</v>
      </c>
      <c r="J793" s="134">
        <v>14000</v>
      </c>
      <c r="K793" s="13">
        <f>ROUND(I793*J793,0)</f>
        <v>2632000</v>
      </c>
      <c r="L793" s="113" t="s">
        <v>251</v>
      </c>
      <c r="M793" s="402" t="s">
        <v>168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/>
      </c>
      <c r="Z793" s="563"/>
    </row>
    <row r="794" spans="1:26" ht="15.75" customHeight="1">
      <c r="A794" s="120" t="str">
        <f>IF(B794&lt;&gt;"",IF(AND(B794&gt;=_TM1,B794&lt;=_TM2,OR(TH!L794="1111",TH!M794="1111")),TH!D794,""),"")</f>
        <v/>
      </c>
      <c r="B794" s="12">
        <f t="shared" si="29"/>
        <v>12</v>
      </c>
      <c r="C794" s="105">
        <f t="shared" si="30"/>
        <v>42732</v>
      </c>
      <c r="D794" s="105" t="s">
        <v>963</v>
      </c>
      <c r="E794" s="110">
        <v>42732</v>
      </c>
      <c r="F794" s="109" t="s">
        <v>494</v>
      </c>
      <c r="G794" s="296" t="s">
        <v>958</v>
      </c>
      <c r="H794" s="4" t="s">
        <v>960</v>
      </c>
      <c r="I794" s="133"/>
      <c r="J794" s="133"/>
      <c r="K794" s="13">
        <v>263200</v>
      </c>
      <c r="L794" s="113" t="s">
        <v>251</v>
      </c>
      <c r="M794" s="402" t="s">
        <v>350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/>
      </c>
      <c r="Z794" s="563"/>
    </row>
    <row r="795" spans="1:26" ht="15.75" customHeight="1">
      <c r="A795" s="120" t="str">
        <f>IF(B795&lt;&gt;"",IF(AND(B795&gt;=_TM1,B795&lt;=_TM2,OR(TH!L795="1111",TH!M795="1111")),TH!D795,""),"")</f>
        <v/>
      </c>
      <c r="B795" s="12">
        <f t="shared" si="29"/>
        <v>12</v>
      </c>
      <c r="C795" s="105">
        <f t="shared" si="30"/>
        <v>42732</v>
      </c>
      <c r="D795" s="105" t="s">
        <v>964</v>
      </c>
      <c r="E795" s="110">
        <v>42732</v>
      </c>
      <c r="F795" s="111" t="s">
        <v>509</v>
      </c>
      <c r="G795" s="296" t="s">
        <v>925</v>
      </c>
      <c r="H795" s="4" t="s">
        <v>616</v>
      </c>
      <c r="I795" s="134">
        <v>209</v>
      </c>
      <c r="J795" s="134">
        <v>12900</v>
      </c>
      <c r="K795" s="13">
        <f>ROUND(I795*J795,0)</f>
        <v>2696100</v>
      </c>
      <c r="L795" s="113" t="s">
        <v>251</v>
      </c>
      <c r="M795" s="402" t="s">
        <v>168</v>
      </c>
      <c r="N795" s="22" t="str">
        <f>IF(AND('331-CT'!$E$7=TH!H795,OR(L795="331",M795="331")),"331",IF(AND(OR(L795="131",M795="131"),H795='131-CT'!$E$7),"131",""))</f>
        <v/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/>
      </c>
      <c r="Z795" s="563"/>
    </row>
    <row r="796" spans="1:26" ht="15.75" customHeight="1">
      <c r="A796" s="120" t="str">
        <f>IF(B796&lt;&gt;"",IF(AND(B796&gt;=_TM1,B796&lt;=_TM2,OR(TH!L796="1111",TH!M796="1111")),TH!D796,""),"")</f>
        <v/>
      </c>
      <c r="B796" s="12">
        <f t="shared" si="29"/>
        <v>12</v>
      </c>
      <c r="C796" s="105">
        <f t="shared" si="30"/>
        <v>42732</v>
      </c>
      <c r="D796" s="105" t="s">
        <v>964</v>
      </c>
      <c r="E796" s="110">
        <v>42732</v>
      </c>
      <c r="F796" s="109" t="s">
        <v>494</v>
      </c>
      <c r="G796" s="296" t="s">
        <v>925</v>
      </c>
      <c r="H796" s="4" t="s">
        <v>616</v>
      </c>
      <c r="I796" s="133"/>
      <c r="J796" s="133"/>
      <c r="K796" s="13">
        <v>269610</v>
      </c>
      <c r="L796" s="113" t="s">
        <v>251</v>
      </c>
      <c r="M796" s="402" t="s">
        <v>350</v>
      </c>
      <c r="N796" s="22" t="str">
        <f>IF(AND('331-CT'!$E$7=TH!H796,OR(L796="331",M796="331")),"331",IF(AND(OR(L796="131",M796="131"),H796='131-CT'!$E$7),"131",""))</f>
        <v/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/>
      </c>
      <c r="Z796" s="563"/>
    </row>
    <row r="797" spans="1:26" ht="15.75" customHeight="1">
      <c r="A797" s="120" t="str">
        <f>IF(B797&lt;&gt;"",IF(AND(B797&gt;=_TM1,B797&lt;=_TM2,OR(TH!L797="1111",TH!M797="1111")),TH!D797,""),"")</f>
        <v/>
      </c>
      <c r="B797" s="12">
        <f t="shared" si="29"/>
        <v>12</v>
      </c>
      <c r="C797" s="105">
        <f t="shared" si="30"/>
        <v>42732</v>
      </c>
      <c r="D797" s="105" t="s">
        <v>965</v>
      </c>
      <c r="E797" s="110">
        <v>42732</v>
      </c>
      <c r="F797" s="111" t="s">
        <v>926</v>
      </c>
      <c r="G797" s="296" t="s">
        <v>924</v>
      </c>
      <c r="H797" s="4" t="s">
        <v>844</v>
      </c>
      <c r="I797" s="134">
        <v>244</v>
      </c>
      <c r="J797" s="134">
        <v>22848</v>
      </c>
      <c r="K797" s="13">
        <f t="shared" ref="K797:K802" si="31">ROUND(I797*J797,0)</f>
        <v>5574912</v>
      </c>
      <c r="L797" s="113" t="s">
        <v>251</v>
      </c>
      <c r="M797" s="402" t="s">
        <v>168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/>
      </c>
      <c r="Z797" s="563"/>
    </row>
    <row r="798" spans="1:26" ht="15.75" customHeight="1">
      <c r="A798" s="120" t="str">
        <f>IF(B798&lt;&gt;"",IF(AND(B798&gt;=_TM1,B798&lt;=_TM2,OR(TH!L798="1111",TH!M798="1111")),TH!D798,""),"")</f>
        <v/>
      </c>
      <c r="B798" s="12">
        <f t="shared" si="29"/>
        <v>12</v>
      </c>
      <c r="C798" s="105">
        <f t="shared" si="30"/>
        <v>42732</v>
      </c>
      <c r="D798" s="105" t="s">
        <v>965</v>
      </c>
      <c r="E798" s="110">
        <v>42732</v>
      </c>
      <c r="F798" s="111" t="s">
        <v>927</v>
      </c>
      <c r="G798" s="296" t="s">
        <v>924</v>
      </c>
      <c r="H798" s="4" t="s">
        <v>844</v>
      </c>
      <c r="I798" s="134">
        <v>244</v>
      </c>
      <c r="J798" s="133">
        <v>21542</v>
      </c>
      <c r="K798" s="13">
        <f t="shared" si="31"/>
        <v>5256248</v>
      </c>
      <c r="L798" s="113" t="s">
        <v>251</v>
      </c>
      <c r="M798" s="402" t="s">
        <v>168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/>
      </c>
      <c r="Z798" s="563"/>
    </row>
    <row r="799" spans="1:26" ht="15.75" customHeight="1">
      <c r="A799" s="120" t="str">
        <f>IF(B799&lt;&gt;"",IF(AND(B799&gt;=_TM1,B799&lt;=_TM2,OR(TH!L799="1111",TH!M799="1111")),TH!D799,""),"")</f>
        <v/>
      </c>
      <c r="B799" s="12">
        <f t="shared" si="29"/>
        <v>12</v>
      </c>
      <c r="C799" s="105">
        <f t="shared" si="30"/>
        <v>42732</v>
      </c>
      <c r="D799" s="105" t="s">
        <v>965</v>
      </c>
      <c r="E799" s="110">
        <v>42732</v>
      </c>
      <c r="F799" s="111" t="s">
        <v>928</v>
      </c>
      <c r="G799" s="296" t="s">
        <v>924</v>
      </c>
      <c r="H799" s="4" t="s">
        <v>844</v>
      </c>
      <c r="I799" s="134">
        <v>244</v>
      </c>
      <c r="J799" s="133">
        <v>905</v>
      </c>
      <c r="K799" s="13">
        <f t="shared" si="31"/>
        <v>220820</v>
      </c>
      <c r="L799" s="113" t="s">
        <v>251</v>
      </c>
      <c r="M799" s="402" t="s">
        <v>168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/>
      </c>
      <c r="Z799" s="563"/>
    </row>
    <row r="800" spans="1:26" ht="15.75" customHeight="1">
      <c r="A800" s="120" t="str">
        <f>IF(B800&lt;&gt;"",IF(AND(B800&gt;=_TM1,B800&lt;=_TM2,OR(TH!L800="1111",TH!M800="1111")),TH!D800,""),"")</f>
        <v/>
      </c>
      <c r="B800" s="12">
        <f t="shared" si="29"/>
        <v>12</v>
      </c>
      <c r="C800" s="105">
        <f t="shared" si="30"/>
        <v>42732</v>
      </c>
      <c r="D800" s="105" t="s">
        <v>965</v>
      </c>
      <c r="E800" s="110">
        <v>42732</v>
      </c>
      <c r="F800" s="111" t="s">
        <v>929</v>
      </c>
      <c r="G800" s="296" t="s">
        <v>924</v>
      </c>
      <c r="H800" s="4" t="s">
        <v>844</v>
      </c>
      <c r="I800" s="134">
        <v>244</v>
      </c>
      <c r="J800" s="133">
        <v>766</v>
      </c>
      <c r="K800" s="13">
        <f t="shared" si="31"/>
        <v>186904</v>
      </c>
      <c r="L800" s="113" t="s">
        <v>251</v>
      </c>
      <c r="M800" s="402" t="s">
        <v>168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/>
      </c>
      <c r="Z800" s="563"/>
    </row>
    <row r="801" spans="1:26" ht="15.75" customHeight="1">
      <c r="A801" s="120" t="str">
        <f>IF(B801&lt;&gt;"",IF(AND(B801&gt;=_TM1,B801&lt;=_TM2,OR(TH!L801="1111",TH!M801="1111")),TH!D801,""),"")</f>
        <v/>
      </c>
      <c r="B801" s="12">
        <f t="shared" si="29"/>
        <v>12</v>
      </c>
      <c r="C801" s="105">
        <f t="shared" si="30"/>
        <v>42732</v>
      </c>
      <c r="D801" s="105" t="s">
        <v>965</v>
      </c>
      <c r="E801" s="110">
        <v>42732</v>
      </c>
      <c r="F801" s="111" t="s">
        <v>930</v>
      </c>
      <c r="G801" s="296" t="s">
        <v>924</v>
      </c>
      <c r="H801" s="4" t="s">
        <v>844</v>
      </c>
      <c r="I801" s="134">
        <v>244</v>
      </c>
      <c r="J801" s="133">
        <v>593</v>
      </c>
      <c r="K801" s="13">
        <f t="shared" si="31"/>
        <v>144692</v>
      </c>
      <c r="L801" s="113" t="s">
        <v>251</v>
      </c>
      <c r="M801" s="402" t="s">
        <v>168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/>
      </c>
      <c r="Z801" s="563"/>
    </row>
    <row r="802" spans="1:26" ht="15.75" customHeight="1">
      <c r="A802" s="120" t="str">
        <f>IF(B802&lt;&gt;"",IF(AND(B802&gt;=_TM1,B802&lt;=_TM2,OR(TH!L802="1111",TH!M802="1111")),TH!D802,""),"")</f>
        <v/>
      </c>
      <c r="B802" s="12">
        <f t="shared" si="29"/>
        <v>12</v>
      </c>
      <c r="C802" s="105">
        <f t="shared" si="30"/>
        <v>42732</v>
      </c>
      <c r="D802" s="105" t="s">
        <v>965</v>
      </c>
      <c r="E802" s="110">
        <v>42732</v>
      </c>
      <c r="F802" s="111" t="s">
        <v>931</v>
      </c>
      <c r="G802" s="296" t="s">
        <v>924</v>
      </c>
      <c r="H802" s="4" t="s">
        <v>844</v>
      </c>
      <c r="I802" s="134">
        <v>244</v>
      </c>
      <c r="J802" s="134">
        <v>502</v>
      </c>
      <c r="K802" s="13">
        <f t="shared" si="31"/>
        <v>122488</v>
      </c>
      <c r="L802" s="113" t="s">
        <v>251</v>
      </c>
      <c r="M802" s="402" t="s">
        <v>168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/>
      </c>
      <c r="Z802" s="563"/>
    </row>
    <row r="803" spans="1:26" ht="15.75" customHeight="1">
      <c r="A803" s="120" t="str">
        <f>IF(B803&lt;&gt;"",IF(AND(B803&gt;=_TM1,B803&lt;=_TM2,OR(TH!L803="1111",TH!M803="1111")),TH!D803,""),"")</f>
        <v/>
      </c>
      <c r="B803" s="12">
        <f t="shared" si="29"/>
        <v>12</v>
      </c>
      <c r="C803" s="105">
        <f t="shared" si="30"/>
        <v>42732</v>
      </c>
      <c r="D803" s="105" t="s">
        <v>965</v>
      </c>
      <c r="E803" s="110">
        <v>42732</v>
      </c>
      <c r="F803" s="109" t="s">
        <v>494</v>
      </c>
      <c r="G803" s="296" t="s">
        <v>924</v>
      </c>
      <c r="H803" s="4" t="s">
        <v>844</v>
      </c>
      <c r="I803" s="133"/>
      <c r="J803" s="133"/>
      <c r="K803" s="13">
        <v>1150606</v>
      </c>
      <c r="L803" s="113" t="s">
        <v>251</v>
      </c>
      <c r="M803" s="402" t="s">
        <v>350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/>
      </c>
      <c r="Z803" s="563"/>
    </row>
    <row r="804" spans="1:26" ht="15.75" customHeight="1">
      <c r="A804" s="120" t="str">
        <f>IF(B804&lt;&gt;"",IF(AND(B804&gt;=_TM1,B804&lt;=_TM2,OR(TH!L804="1111",TH!M804="1111")),TH!D804,""),"")</f>
        <v/>
      </c>
      <c r="B804" s="12">
        <f t="shared" si="29"/>
        <v>12</v>
      </c>
      <c r="C804" s="105">
        <f t="shared" si="30"/>
        <v>42733</v>
      </c>
      <c r="D804" s="105" t="s">
        <v>467</v>
      </c>
      <c r="E804" s="110">
        <v>42733</v>
      </c>
      <c r="F804" s="109" t="s">
        <v>482</v>
      </c>
      <c r="G804" s="111" t="s">
        <v>472</v>
      </c>
      <c r="H804" s="4" t="s">
        <v>892</v>
      </c>
      <c r="I804" s="133"/>
      <c r="J804" s="135"/>
      <c r="K804" s="13">
        <v>9494100</v>
      </c>
      <c r="L804" s="113" t="s">
        <v>24</v>
      </c>
      <c r="M804" s="402" t="s">
        <v>251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/>
      </c>
      <c r="Z804" s="563"/>
    </row>
    <row r="805" spans="1:26" ht="15.75" customHeight="1">
      <c r="A805" s="120" t="str">
        <f>IF(B805&lt;&gt;"",IF(AND(B805&gt;=_TM1,B805&lt;=_TM2,OR(TH!L805="1111",TH!M805="1111")),TH!D805,""),"")</f>
        <v>C34</v>
      </c>
      <c r="B805" s="12">
        <f t="shared" si="29"/>
        <v>12</v>
      </c>
      <c r="C805" s="105">
        <f t="shared" si="30"/>
        <v>42733</v>
      </c>
      <c r="D805" s="105" t="s">
        <v>1048</v>
      </c>
      <c r="E805" s="110">
        <v>42733</v>
      </c>
      <c r="F805" s="109" t="s">
        <v>1030</v>
      </c>
      <c r="G805" s="111" t="s">
        <v>472</v>
      </c>
      <c r="H805" s="4" t="s">
        <v>892</v>
      </c>
      <c r="I805" s="133"/>
      <c r="J805" s="135"/>
      <c r="K805" s="13">
        <v>7592200</v>
      </c>
      <c r="L805" s="113" t="s">
        <v>251</v>
      </c>
      <c r="M805" s="402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>x</v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/>
      </c>
      <c r="Z805" s="563"/>
    </row>
    <row r="806" spans="1:26" ht="15.75" customHeight="1">
      <c r="A806" s="120" t="str">
        <f>IF(B806&lt;&gt;"",IF(AND(B806&gt;=_TM1,B806&lt;=_TM2,OR(TH!L806="1111",TH!M806="1111")),TH!D806,""),"")</f>
        <v/>
      </c>
      <c r="B806" s="12">
        <f t="shared" si="29"/>
        <v>12</v>
      </c>
      <c r="C806" s="105">
        <f t="shared" si="30"/>
        <v>42733</v>
      </c>
      <c r="D806" s="105" t="s">
        <v>966</v>
      </c>
      <c r="E806" s="110">
        <v>42733</v>
      </c>
      <c r="F806" s="111" t="s">
        <v>935</v>
      </c>
      <c r="G806" s="296" t="s">
        <v>932</v>
      </c>
      <c r="H806" s="4" t="s">
        <v>933</v>
      </c>
      <c r="I806" s="133">
        <v>650</v>
      </c>
      <c r="J806" s="133">
        <v>4500</v>
      </c>
      <c r="K806" s="13">
        <f>ROUND(I806*J806,0)</f>
        <v>2925000</v>
      </c>
      <c r="L806" s="113" t="s">
        <v>251</v>
      </c>
      <c r="M806" s="402" t="s">
        <v>168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/>
      </c>
      <c r="Z806" s="563"/>
    </row>
    <row r="807" spans="1:26" ht="15.75" customHeight="1">
      <c r="A807" s="120" t="str">
        <f>IF(B807&lt;&gt;"",IF(AND(B807&gt;=_TM1,B807&lt;=_TM2,OR(TH!L807="1111",TH!M807="1111")),TH!D807,""),"")</f>
        <v/>
      </c>
      <c r="B807" s="12">
        <f t="shared" si="29"/>
        <v>12</v>
      </c>
      <c r="C807" s="105">
        <f t="shared" si="30"/>
        <v>42733</v>
      </c>
      <c r="D807" s="105" t="s">
        <v>966</v>
      </c>
      <c r="E807" s="110">
        <v>42733</v>
      </c>
      <c r="F807" s="109" t="s">
        <v>494</v>
      </c>
      <c r="G807" s="296" t="s">
        <v>932</v>
      </c>
      <c r="H807" s="4" t="s">
        <v>933</v>
      </c>
      <c r="I807" s="133"/>
      <c r="J807" s="133"/>
      <c r="K807" s="13">
        <v>292500</v>
      </c>
      <c r="L807" s="113" t="s">
        <v>251</v>
      </c>
      <c r="M807" s="402" t="s">
        <v>350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/>
      </c>
      <c r="Z807" s="563"/>
    </row>
    <row r="808" spans="1:26" ht="15.75" customHeight="1">
      <c r="A808" s="120" t="str">
        <f>IF(B808&lt;&gt;"",IF(AND(B808&gt;=_TM1,B808&lt;=_TM2,OR(TH!L808="1111",TH!M808="1111")),TH!D808,""),"")</f>
        <v/>
      </c>
      <c r="B808" s="12">
        <f t="shared" si="29"/>
        <v>12</v>
      </c>
      <c r="C808" s="105">
        <f t="shared" si="30"/>
        <v>42734</v>
      </c>
      <c r="D808" s="110" t="s">
        <v>952</v>
      </c>
      <c r="E808" s="105">
        <v>42734</v>
      </c>
      <c r="F808" s="109" t="s">
        <v>442</v>
      </c>
      <c r="G808" s="296" t="s">
        <v>939</v>
      </c>
      <c r="H808" s="112" t="s">
        <v>440</v>
      </c>
      <c r="I808" s="133">
        <v>7860</v>
      </c>
      <c r="J808" s="133">
        <v>800</v>
      </c>
      <c r="K808" s="13">
        <f>ROUND(I808*J808,0)</f>
        <v>6288000</v>
      </c>
      <c r="L808" s="113" t="s">
        <v>155</v>
      </c>
      <c r="M808" s="113" t="s">
        <v>8</v>
      </c>
      <c r="N808" s="22" t="str">
        <f>IF(AND('331-CT'!$E$7=TH!H808,OR(L808="331",M808="331")),"331",IF(AND(OR(L808="131",M808="131"),H808='131-CT'!$E$7),"131",""))</f>
        <v/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/>
      </c>
      <c r="Z808" s="563">
        <v>4</v>
      </c>
    </row>
    <row r="809" spans="1:26" ht="15.75" customHeight="1">
      <c r="A809" s="120" t="str">
        <f>IF(B809&lt;&gt;"",IF(AND(B809&gt;=_TM1,B809&lt;=_TM2,OR(TH!L809="1111",TH!M809="1111")),TH!D809,""),"")</f>
        <v/>
      </c>
      <c r="B809" s="12">
        <f t="shared" si="29"/>
        <v>12</v>
      </c>
      <c r="C809" s="105">
        <f t="shared" si="30"/>
        <v>42734</v>
      </c>
      <c r="D809" s="110" t="s">
        <v>952</v>
      </c>
      <c r="E809" s="105">
        <v>42734</v>
      </c>
      <c r="F809" s="109" t="s">
        <v>443</v>
      </c>
      <c r="G809" s="296" t="s">
        <v>939</v>
      </c>
      <c r="H809" s="112" t="s">
        <v>440</v>
      </c>
      <c r="I809" s="133"/>
      <c r="J809" s="133"/>
      <c r="K809" s="401">
        <v>628800</v>
      </c>
      <c r="L809" s="113" t="s">
        <v>9</v>
      </c>
      <c r="M809" s="113" t="s">
        <v>8</v>
      </c>
      <c r="N809" s="22" t="str">
        <f>IF(AND('331-CT'!$E$7=TH!H809,OR(L809="331",M809="331")),"331",IF(AND(OR(L809="131",M809="131"),H809='131-CT'!$E$7),"131",""))</f>
        <v/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/>
      </c>
      <c r="Z809" s="563">
        <v>4</v>
      </c>
    </row>
    <row r="810" spans="1:26" ht="15.75" customHeight="1">
      <c r="A810" s="120" t="str">
        <f>IF(B810&lt;&gt;"",IF(AND(B810&gt;=_TM1,B810&lt;=_TM2,OR(TH!L810="1111",TH!M810="1111")),TH!D810,""),"")</f>
        <v>C35</v>
      </c>
      <c r="B810" s="12">
        <f t="shared" si="29"/>
        <v>12</v>
      </c>
      <c r="C810" s="105">
        <f t="shared" si="30"/>
        <v>42734</v>
      </c>
      <c r="D810" s="110" t="s">
        <v>1049</v>
      </c>
      <c r="E810" s="105">
        <v>42734</v>
      </c>
      <c r="F810" s="109" t="s">
        <v>463</v>
      </c>
      <c r="G810" s="296" t="s">
        <v>939</v>
      </c>
      <c r="H810" s="112" t="s">
        <v>440</v>
      </c>
      <c r="I810" s="133"/>
      <c r="J810" s="133"/>
      <c r="K810" s="401">
        <v>6916800</v>
      </c>
      <c r="L810" s="113" t="s">
        <v>8</v>
      </c>
      <c r="M810" s="113" t="s">
        <v>46</v>
      </c>
      <c r="N810" s="22" t="str">
        <f>IF(AND('331-CT'!$E$7=TH!H810,OR(L810="331",M810="331")),"331",IF(AND(OR(L810="131",M810="131"),H810='131-CT'!$E$7),"131",""))</f>
        <v/>
      </c>
      <c r="O810" s="22" t="str">
        <f>IF(AND($B810&gt;='111'!$N$11,$B810&lt;='111'!$O$11,OR($L810=$O$7,$M810=$O$7)),"x","")</f>
        <v>x</v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/>
      </c>
      <c r="Z810" s="563"/>
    </row>
    <row r="811" spans="1:26" ht="15.75" customHeight="1">
      <c r="A811" s="120" t="str">
        <f>IF(B811&lt;&gt;"",IF(AND(B811&gt;=_TM1,B811&lt;=_TM2,OR(TH!L811="1111",TH!M811="1111")),TH!D811,""),"")</f>
        <v/>
      </c>
      <c r="B811" s="12">
        <f t="shared" si="29"/>
        <v>12</v>
      </c>
      <c r="C811" s="105">
        <f t="shared" si="30"/>
        <v>42734</v>
      </c>
      <c r="D811" s="105" t="s">
        <v>467</v>
      </c>
      <c r="E811" s="110">
        <v>42734</v>
      </c>
      <c r="F811" s="109" t="s">
        <v>482</v>
      </c>
      <c r="G811" s="111" t="s">
        <v>472</v>
      </c>
      <c r="H811" s="4" t="s">
        <v>844</v>
      </c>
      <c r="I811" s="133"/>
      <c r="J811" s="135"/>
      <c r="K811" s="13">
        <v>14794287</v>
      </c>
      <c r="L811" s="113" t="s">
        <v>24</v>
      </c>
      <c r="M811" s="402" t="s">
        <v>251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/>
      </c>
      <c r="Z811" s="563"/>
    </row>
    <row r="812" spans="1:26" ht="15.75" customHeight="1">
      <c r="A812" s="120" t="str">
        <f>IF(B812&lt;&gt;"",IF(AND(B812&gt;=_TM1,B812&lt;=_TM2,OR(TH!L812="1111",TH!M812="1111")),TH!D812,""),"")</f>
        <v>T49</v>
      </c>
      <c r="B812" s="12">
        <f t="shared" si="29"/>
        <v>12</v>
      </c>
      <c r="C812" s="105">
        <f t="shared" si="30"/>
        <v>42734</v>
      </c>
      <c r="D812" s="105" t="s">
        <v>1067</v>
      </c>
      <c r="E812" s="110">
        <v>42734</v>
      </c>
      <c r="F812" s="111" t="s">
        <v>483</v>
      </c>
      <c r="G812" s="111" t="s">
        <v>472</v>
      </c>
      <c r="H812" s="112" t="s">
        <v>473</v>
      </c>
      <c r="I812" s="133"/>
      <c r="J812" s="135"/>
      <c r="K812" s="13">
        <v>9500000</v>
      </c>
      <c r="L812" s="113" t="s">
        <v>46</v>
      </c>
      <c r="M812" s="402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>x</v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/>
      </c>
      <c r="Z812" s="563"/>
    </row>
    <row r="813" spans="1:26" ht="15.75" customHeight="1">
      <c r="A813" s="120" t="str">
        <f>IF(B813&lt;&gt;"",IF(AND(B813&gt;=_TM1,B813&lt;=_TM2,OR(TH!L813="1111",TH!M813="1111")),TH!D813,""),"")</f>
        <v/>
      </c>
      <c r="B813" s="12">
        <f t="shared" si="29"/>
        <v>12</v>
      </c>
      <c r="C813" s="105">
        <f t="shared" si="30"/>
        <v>42734</v>
      </c>
      <c r="D813" s="105" t="s">
        <v>967</v>
      </c>
      <c r="E813" s="110">
        <v>42734</v>
      </c>
      <c r="F813" s="111" t="s">
        <v>522</v>
      </c>
      <c r="G813" s="296" t="s">
        <v>934</v>
      </c>
      <c r="H813" s="112" t="s">
        <v>614</v>
      </c>
      <c r="I813" s="133">
        <v>525</v>
      </c>
      <c r="J813" s="133">
        <v>11000</v>
      </c>
      <c r="K813" s="13">
        <f>ROUND(I813*J813,0)</f>
        <v>5775000</v>
      </c>
      <c r="L813" s="113" t="s">
        <v>251</v>
      </c>
      <c r="M813" s="402" t="s">
        <v>168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/>
      </c>
      <c r="Z813" s="563"/>
    </row>
    <row r="814" spans="1:26" ht="15.75" customHeight="1">
      <c r="A814" s="120" t="str">
        <f>IF(B814&lt;&gt;"",IF(AND(B814&gt;=_TM1,B814&lt;=_TM2,OR(TH!L814="1111",TH!M814="1111")),TH!D814,""),"")</f>
        <v/>
      </c>
      <c r="B814" s="12">
        <f t="shared" si="29"/>
        <v>12</v>
      </c>
      <c r="C814" s="105">
        <f t="shared" si="30"/>
        <v>42734</v>
      </c>
      <c r="D814" s="105" t="s">
        <v>967</v>
      </c>
      <c r="E814" s="110">
        <v>42734</v>
      </c>
      <c r="F814" s="109" t="s">
        <v>494</v>
      </c>
      <c r="G814" s="296" t="s">
        <v>934</v>
      </c>
      <c r="H814" s="112" t="s">
        <v>614</v>
      </c>
      <c r="I814" s="134"/>
      <c r="J814" s="134"/>
      <c r="K814" s="13">
        <v>577500</v>
      </c>
      <c r="L814" s="113" t="s">
        <v>251</v>
      </c>
      <c r="M814" s="402" t="s">
        <v>350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/>
      </c>
      <c r="Z814" s="563"/>
    </row>
    <row r="815" spans="1:26" ht="15.75" customHeight="1">
      <c r="A815" s="120" t="str">
        <f>IF(B815&lt;&gt;"",IF(AND(B815&gt;=_TM1,B815&lt;=_TM2,OR(TH!L815="1111",TH!M815="1111")),TH!D815,""),"")</f>
        <v/>
      </c>
      <c r="B815" s="12">
        <f t="shared" si="29"/>
        <v>12</v>
      </c>
      <c r="C815" s="105">
        <f t="shared" si="30"/>
        <v>42734</v>
      </c>
      <c r="D815" s="105" t="s">
        <v>968</v>
      </c>
      <c r="E815" s="110">
        <v>42734</v>
      </c>
      <c r="F815" s="111" t="s">
        <v>1083</v>
      </c>
      <c r="G815" s="296" t="s">
        <v>1081</v>
      </c>
      <c r="H815" s="4" t="s">
        <v>1082</v>
      </c>
      <c r="I815" s="133">
        <v>7250</v>
      </c>
      <c r="J815" s="133">
        <v>1392</v>
      </c>
      <c r="K815" s="13">
        <f t="shared" ref="K815:K821" si="32">ROUND(I815*J815,0)</f>
        <v>10092000</v>
      </c>
      <c r="L815" s="113" t="s">
        <v>251</v>
      </c>
      <c r="M815" s="402" t="s">
        <v>168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/>
      </c>
      <c r="Z815" s="563"/>
    </row>
    <row r="816" spans="1:26" ht="15.75" customHeight="1">
      <c r="A816" s="120" t="str">
        <f>IF(B816&lt;&gt;"",IF(AND(B816&gt;=_TM1,B816&lt;=_TM2,OR(TH!L816="1111",TH!M816="1111")),TH!D816,""),"")</f>
        <v/>
      </c>
      <c r="B816" s="12">
        <f t="shared" si="29"/>
        <v>12</v>
      </c>
      <c r="C816" s="105">
        <f t="shared" si="30"/>
        <v>42734</v>
      </c>
      <c r="D816" s="105" t="s">
        <v>968</v>
      </c>
      <c r="E816" s="110">
        <v>42734</v>
      </c>
      <c r="F816" s="111" t="s">
        <v>1084</v>
      </c>
      <c r="G816" s="296" t="s">
        <v>1081</v>
      </c>
      <c r="H816" s="4" t="s">
        <v>1082</v>
      </c>
      <c r="I816" s="133">
        <v>9730</v>
      </c>
      <c r="J816" s="133">
        <v>1102</v>
      </c>
      <c r="K816" s="13">
        <f t="shared" si="32"/>
        <v>10722460</v>
      </c>
      <c r="L816" s="113" t="s">
        <v>251</v>
      </c>
      <c r="M816" s="402" t="s">
        <v>168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/>
      </c>
      <c r="Z816" s="563"/>
    </row>
    <row r="817" spans="1:26" ht="15.75" customHeight="1">
      <c r="A817" s="120" t="str">
        <f>IF(B817&lt;&gt;"",IF(AND(B817&gt;=_TM1,B817&lt;=_TM2,OR(TH!L817="1111",TH!M817="1111")),TH!D817,""),"")</f>
        <v/>
      </c>
      <c r="B817" s="12">
        <f t="shared" si="29"/>
        <v>12</v>
      </c>
      <c r="C817" s="105">
        <f t="shared" si="30"/>
        <v>42734</v>
      </c>
      <c r="D817" s="105" t="s">
        <v>968</v>
      </c>
      <c r="E817" s="110">
        <v>42734</v>
      </c>
      <c r="F817" s="111" t="s">
        <v>1085</v>
      </c>
      <c r="G817" s="296" t="s">
        <v>1081</v>
      </c>
      <c r="H817" s="4" t="s">
        <v>1082</v>
      </c>
      <c r="I817" s="133">
        <v>375</v>
      </c>
      <c r="J817" s="133">
        <v>5348</v>
      </c>
      <c r="K817" s="13">
        <f t="shared" si="32"/>
        <v>2005500</v>
      </c>
      <c r="L817" s="113" t="s">
        <v>251</v>
      </c>
      <c r="M817" s="402" t="s">
        <v>168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/>
      </c>
      <c r="Z817" s="563"/>
    </row>
    <row r="818" spans="1:26" ht="15.75" customHeight="1">
      <c r="A818" s="120" t="str">
        <f>IF(B818&lt;&gt;"",IF(AND(B818&gt;=_TM1,B818&lt;=_TM2,OR(TH!L818="1111",TH!M818="1111")),TH!D818,""),"")</f>
        <v/>
      </c>
      <c r="B818" s="12">
        <f t="shared" si="29"/>
        <v>12</v>
      </c>
      <c r="C818" s="105">
        <f t="shared" si="30"/>
        <v>42734</v>
      </c>
      <c r="D818" s="105" t="s">
        <v>968</v>
      </c>
      <c r="E818" s="110">
        <v>42734</v>
      </c>
      <c r="F818" s="111" t="s">
        <v>1086</v>
      </c>
      <c r="G818" s="296" t="s">
        <v>1081</v>
      </c>
      <c r="H818" s="4" t="s">
        <v>1082</v>
      </c>
      <c r="I818" s="133">
        <v>500</v>
      </c>
      <c r="J818" s="133">
        <v>14400</v>
      </c>
      <c r="K818" s="13">
        <f t="shared" si="32"/>
        <v>7200000</v>
      </c>
      <c r="L818" s="113" t="s">
        <v>251</v>
      </c>
      <c r="M818" s="402" t="s">
        <v>168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/>
      </c>
      <c r="Z818" s="563"/>
    </row>
    <row r="819" spans="1:26" ht="15.75" customHeight="1">
      <c r="A819" s="120" t="str">
        <f>IF(B819&lt;&gt;"",IF(AND(B819&gt;=_TM1,B819&lt;=_TM2,OR(TH!L819="1111",TH!M819="1111")),TH!D819,""),"")</f>
        <v/>
      </c>
      <c r="B819" s="12">
        <f t="shared" si="29"/>
        <v>12</v>
      </c>
      <c r="C819" s="105">
        <f t="shared" si="30"/>
        <v>42734</v>
      </c>
      <c r="D819" s="105" t="s">
        <v>968</v>
      </c>
      <c r="E819" s="110">
        <v>42734</v>
      </c>
      <c r="F819" s="111" t="s">
        <v>1087</v>
      </c>
      <c r="G819" s="296" t="s">
        <v>1081</v>
      </c>
      <c r="H819" s="4" t="s">
        <v>1082</v>
      </c>
      <c r="I819" s="133">
        <v>2375</v>
      </c>
      <c r="J819" s="133">
        <v>820</v>
      </c>
      <c r="K819" s="13">
        <f t="shared" si="32"/>
        <v>1947500</v>
      </c>
      <c r="L819" s="113" t="s">
        <v>251</v>
      </c>
      <c r="M819" s="402" t="s">
        <v>168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/>
      </c>
      <c r="Z819" s="563"/>
    </row>
    <row r="820" spans="1:26" ht="15.75" customHeight="1">
      <c r="A820" s="120" t="str">
        <f>IF(B820&lt;&gt;"",IF(AND(B820&gt;=_TM1,B820&lt;=_TM2,OR(TH!L820="1111",TH!M820="1111")),TH!D820,""),"")</f>
        <v/>
      </c>
      <c r="B820" s="12">
        <f t="shared" si="29"/>
        <v>12</v>
      </c>
      <c r="C820" s="105">
        <f t="shared" si="30"/>
        <v>42734</v>
      </c>
      <c r="D820" s="105" t="s">
        <v>968</v>
      </c>
      <c r="E820" s="110">
        <v>42734</v>
      </c>
      <c r="F820" s="111" t="s">
        <v>1088</v>
      </c>
      <c r="G820" s="296" t="s">
        <v>1081</v>
      </c>
      <c r="H820" s="4" t="s">
        <v>1082</v>
      </c>
      <c r="I820" s="133">
        <v>200</v>
      </c>
      <c r="J820" s="133">
        <v>1804</v>
      </c>
      <c r="K820" s="13">
        <f t="shared" si="32"/>
        <v>360800</v>
      </c>
      <c r="L820" s="113" t="s">
        <v>251</v>
      </c>
      <c r="M820" s="402" t="s">
        <v>168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/>
      </c>
      <c r="Z820" s="563"/>
    </row>
    <row r="821" spans="1:26" ht="15.75" customHeight="1">
      <c r="A821" s="120" t="str">
        <f>IF(B821&lt;&gt;"",IF(AND(B821&gt;=_TM1,B821&lt;=_TM2,OR(TH!L821="1111",TH!M821="1111")),TH!D821,""),"")</f>
        <v/>
      </c>
      <c r="B821" s="12">
        <f t="shared" si="29"/>
        <v>12</v>
      </c>
      <c r="C821" s="105">
        <f t="shared" si="30"/>
        <v>42734</v>
      </c>
      <c r="D821" s="105" t="s">
        <v>968</v>
      </c>
      <c r="E821" s="110">
        <v>42734</v>
      </c>
      <c r="F821" s="111" t="s">
        <v>1089</v>
      </c>
      <c r="G821" s="296" t="s">
        <v>1081</v>
      </c>
      <c r="H821" s="4" t="s">
        <v>1082</v>
      </c>
      <c r="I821" s="133">
        <v>2000</v>
      </c>
      <c r="J821" s="133">
        <v>705</v>
      </c>
      <c r="K821" s="13">
        <f t="shared" si="32"/>
        <v>1410000</v>
      </c>
      <c r="L821" s="113" t="s">
        <v>251</v>
      </c>
      <c r="M821" s="402" t="s">
        <v>168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/>
      </c>
      <c r="Z821" s="563"/>
    </row>
    <row r="822" spans="1:26" ht="15.75" customHeight="1">
      <c r="A822" s="120" t="str">
        <f>IF(B822&lt;&gt;"",IF(AND(B822&gt;=_TM1,B822&lt;=_TM2,OR(TH!L822="1111",TH!M822="1111")),TH!D822,""),"")</f>
        <v/>
      </c>
      <c r="B822" s="12">
        <f t="shared" si="29"/>
        <v>12</v>
      </c>
      <c r="C822" s="105">
        <f t="shared" si="30"/>
        <v>42734</v>
      </c>
      <c r="D822" s="105" t="s">
        <v>968</v>
      </c>
      <c r="E822" s="110">
        <v>42734</v>
      </c>
      <c r="F822" s="109" t="s">
        <v>494</v>
      </c>
      <c r="G822" s="296" t="s">
        <v>1081</v>
      </c>
      <c r="H822" s="4" t="s">
        <v>1082</v>
      </c>
      <c r="I822" s="134"/>
      <c r="J822" s="134"/>
      <c r="K822" s="13">
        <v>3373826</v>
      </c>
      <c r="L822" s="113" t="s">
        <v>251</v>
      </c>
      <c r="M822" s="402" t="s">
        <v>350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/>
      </c>
      <c r="Z822" s="563"/>
    </row>
    <row r="823" spans="1:26" ht="15.75" customHeight="1">
      <c r="A823" s="120" t="str">
        <f>IF(B823&lt;&gt;"",IF(AND(B823&gt;=_TM1,B823&lt;=_TM2,OR(TH!L823="1111",TH!M823="1111")),TH!D823,""),"")</f>
        <v/>
      </c>
      <c r="B823" s="580">
        <f t="shared" si="29"/>
        <v>12</v>
      </c>
      <c r="C823" s="557">
        <f t="shared" si="30"/>
        <v>42735</v>
      </c>
      <c r="D823" s="557" t="s">
        <v>323</v>
      </c>
      <c r="E823" s="557">
        <v>42735</v>
      </c>
      <c r="F823" s="560" t="s">
        <v>819</v>
      </c>
      <c r="G823" s="576"/>
      <c r="H823" s="577"/>
      <c r="I823" s="559"/>
      <c r="J823" s="559"/>
      <c r="K823" s="562">
        <v>4405000</v>
      </c>
      <c r="L823" s="578" t="s">
        <v>82</v>
      </c>
      <c r="M823" s="578" t="s">
        <v>254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>x</v>
      </c>
      <c r="Y823" s="22" t="str">
        <f>IF(AND(B823&lt;=NKC!$N$8,B823&gt;=NKC!$M$8),"x","")</f>
        <v/>
      </c>
      <c r="Z823" s="579"/>
    </row>
    <row r="824" spans="1:26" ht="15.75" customHeight="1">
      <c r="A824" s="120" t="str">
        <f>IF(B824&lt;&gt;"",IF(AND(B824&gt;=_TM1,B824&lt;=_TM2,OR(TH!L824="1111",TH!M824="1111")),TH!D824,""),"")</f>
        <v/>
      </c>
      <c r="B824" s="580">
        <f t="shared" si="29"/>
        <v>12</v>
      </c>
      <c r="C824" s="557">
        <f t="shared" si="30"/>
        <v>42735</v>
      </c>
      <c r="D824" s="557" t="s">
        <v>323</v>
      </c>
      <c r="E824" s="557">
        <v>42735</v>
      </c>
      <c r="F824" s="560" t="s">
        <v>820</v>
      </c>
      <c r="G824" s="576"/>
      <c r="H824" s="577"/>
      <c r="I824" s="559"/>
      <c r="J824" s="559"/>
      <c r="K824" s="562">
        <v>14020000</v>
      </c>
      <c r="L824" s="578" t="s">
        <v>159</v>
      </c>
      <c r="M824" s="578" t="s">
        <v>254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/>
      </c>
      <c r="Z824" s="579"/>
    </row>
    <row r="825" spans="1:26" ht="15.75" customHeight="1">
      <c r="A825" s="120" t="str">
        <f>IF(B825&lt;&gt;"",IF(AND(B825&gt;=_TM1,B825&lt;=_TM2,OR(TH!L825="1111",TH!M825="1111")),TH!D825,""),"")</f>
        <v>C36</v>
      </c>
      <c r="B825" s="580">
        <f t="shared" si="29"/>
        <v>12</v>
      </c>
      <c r="C825" s="557">
        <f t="shared" si="30"/>
        <v>42735</v>
      </c>
      <c r="D825" s="557" t="s">
        <v>1050</v>
      </c>
      <c r="E825" s="557">
        <v>42735</v>
      </c>
      <c r="F825" s="560" t="str">
        <f>"Thanh toán tiền lương tháng "&amp;MONTH(E825)&amp;"/"&amp;YEAR(E825)</f>
        <v>Thanh toán tiền lương tháng 12/2016</v>
      </c>
      <c r="G825" s="576"/>
      <c r="H825" s="577" t="s">
        <v>794</v>
      </c>
      <c r="I825" s="559"/>
      <c r="J825" s="559"/>
      <c r="K825" s="562">
        <f>K823+K824</f>
        <v>18425000</v>
      </c>
      <c r="L825" s="578" t="s">
        <v>254</v>
      </c>
      <c r="M825" s="578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>x</v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/>
      </c>
      <c r="Z825" s="579"/>
    </row>
    <row r="826" spans="1:26" ht="15.75" customHeight="1">
      <c r="A826" s="120" t="str">
        <f>IF(B826&lt;&gt;"",IF(AND(B826&gt;=_TM1,B826&lt;=_TM2,OR(TH!L826="1111",TH!M826="1111")),TH!D826,""),"")</f>
        <v/>
      </c>
      <c r="B826" s="12">
        <f t="shared" si="29"/>
        <v>12</v>
      </c>
      <c r="C826" s="105">
        <f t="shared" si="30"/>
        <v>42735</v>
      </c>
      <c r="D826" s="110" t="s">
        <v>1079</v>
      </c>
      <c r="E826" s="105">
        <v>42735</v>
      </c>
      <c r="F826" s="109" t="s">
        <v>877</v>
      </c>
      <c r="G826" s="298" t="s">
        <v>954</v>
      </c>
      <c r="H826" s="4" t="s">
        <v>879</v>
      </c>
      <c r="I826" s="133">
        <v>25500</v>
      </c>
      <c r="J826" s="133">
        <v>8400</v>
      </c>
      <c r="K826" s="13">
        <f>ROUND(I826*J826,0)</f>
        <v>214200000</v>
      </c>
      <c r="L826" s="113" t="s">
        <v>153</v>
      </c>
      <c r="M826" s="402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/>
      </c>
      <c r="Z826" s="563">
        <v>4</v>
      </c>
    </row>
    <row r="827" spans="1:26" ht="15.75" customHeight="1">
      <c r="A827" s="120" t="str">
        <f>IF(B827&lt;&gt;"",IF(AND(B827&gt;=_TM1,B827&lt;=_TM2,OR(TH!L827="1111",TH!M827="1111")),TH!D827,""),"")</f>
        <v/>
      </c>
      <c r="B827" s="12">
        <f t="shared" si="29"/>
        <v>12</v>
      </c>
      <c r="C827" s="105">
        <f t="shared" si="30"/>
        <v>42735</v>
      </c>
      <c r="D827" s="110" t="s">
        <v>1079</v>
      </c>
      <c r="E827" s="105">
        <v>42735</v>
      </c>
      <c r="F827" s="109" t="s">
        <v>878</v>
      </c>
      <c r="G827" s="298" t="s">
        <v>954</v>
      </c>
      <c r="H827" s="4" t="s">
        <v>879</v>
      </c>
      <c r="I827" s="133"/>
      <c r="J827" s="133"/>
      <c r="K827" s="13">
        <v>21420000</v>
      </c>
      <c r="L827" s="113" t="s">
        <v>9</v>
      </c>
      <c r="M827" s="113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/>
      </c>
      <c r="Z827" s="563">
        <v>4</v>
      </c>
    </row>
    <row r="828" spans="1:26" ht="15.75" customHeight="1">
      <c r="A828" s="120" t="str">
        <f>IF(B828&lt;&gt;"",IF(AND(B828&gt;=_TM1,B828&lt;=_TM2,OR(TH!L828="1111",TH!M828="1111")),TH!D828,""),"")</f>
        <v/>
      </c>
      <c r="B828" s="12">
        <f t="shared" si="29"/>
        <v>12</v>
      </c>
      <c r="C828" s="105">
        <f t="shared" si="30"/>
        <v>42735</v>
      </c>
      <c r="D828" s="105" t="s">
        <v>467</v>
      </c>
      <c r="E828" s="110">
        <v>42735</v>
      </c>
      <c r="F828" s="109" t="s">
        <v>474</v>
      </c>
      <c r="G828" s="111" t="s">
        <v>472</v>
      </c>
      <c r="H828" s="112"/>
      <c r="I828" s="133"/>
      <c r="J828" s="135"/>
      <c r="K828" s="13">
        <v>2749</v>
      </c>
      <c r="L828" s="113" t="s">
        <v>24</v>
      </c>
      <c r="M828" s="402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/>
      </c>
      <c r="Z828" s="563"/>
    </row>
    <row r="829" spans="1:26" ht="15.75" customHeight="1">
      <c r="A829" s="120" t="str">
        <f>IF(B829&lt;&gt;"",IF(AND(B829&gt;=_TM1,B829&lt;=_TM2,OR(TH!L829="1111",TH!M829="1111")),TH!D829,""),"")</f>
        <v/>
      </c>
      <c r="B829" s="12">
        <f t="shared" si="29"/>
        <v>12</v>
      </c>
      <c r="C829" s="105">
        <f t="shared" si="30"/>
        <v>42735</v>
      </c>
      <c r="D829" s="105" t="s">
        <v>468</v>
      </c>
      <c r="E829" s="110">
        <v>42735</v>
      </c>
      <c r="F829" s="111" t="s">
        <v>475</v>
      </c>
      <c r="G829" s="111" t="s">
        <v>472</v>
      </c>
      <c r="H829" s="112"/>
      <c r="I829" s="133"/>
      <c r="J829" s="135"/>
      <c r="K829" s="13">
        <v>10000</v>
      </c>
      <c r="L829" s="113" t="s">
        <v>82</v>
      </c>
      <c r="M829" s="402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>x</v>
      </c>
      <c r="Y829" s="22" t="str">
        <f>IF(AND(B829&lt;=NKC!$N$8,B829&gt;=NKC!$M$8),"x","")</f>
        <v/>
      </c>
      <c r="Z829" s="563">
        <v>4</v>
      </c>
    </row>
    <row r="830" spans="1:26" ht="15.75" customHeight="1">
      <c r="A830" s="120" t="str">
        <f>IF(B830&lt;&gt;"",IF(AND(B830&gt;=_TM1,B830&lt;=_TM2,OR(TH!L830="1111",TH!M830="1111")),TH!D830,""),"")</f>
        <v/>
      </c>
      <c r="B830" s="12">
        <f t="shared" si="29"/>
        <v>12</v>
      </c>
      <c r="C830" s="105">
        <f t="shared" si="30"/>
        <v>42735</v>
      </c>
      <c r="D830" s="105" t="s">
        <v>468</v>
      </c>
      <c r="E830" s="110">
        <v>42735</v>
      </c>
      <c r="F830" s="111" t="s">
        <v>476</v>
      </c>
      <c r="G830" s="111" t="s">
        <v>472</v>
      </c>
      <c r="H830" s="112"/>
      <c r="I830" s="133"/>
      <c r="J830" s="135"/>
      <c r="K830" s="13">
        <v>1000</v>
      </c>
      <c r="L830" s="113" t="s">
        <v>9</v>
      </c>
      <c r="M830" s="402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/>
      </c>
      <c r="Z830" s="563">
        <v>4</v>
      </c>
    </row>
    <row r="831" spans="1:26" ht="15.75" customHeight="1">
      <c r="A831" s="120" t="str">
        <f>IF(B831&lt;&gt;"",IF(AND(B831&gt;=_TM1,B831&lt;=_TM2,OR(TH!L831="1111",TH!M831="1111")),TH!D831,""),"")</f>
        <v>C37</v>
      </c>
      <c r="B831" s="12">
        <f t="shared" si="29"/>
        <v>12</v>
      </c>
      <c r="C831" s="105">
        <f t="shared" si="30"/>
        <v>42735</v>
      </c>
      <c r="D831" s="110" t="s">
        <v>1051</v>
      </c>
      <c r="E831" s="110">
        <v>42735</v>
      </c>
      <c r="F831" s="109" t="s">
        <v>982</v>
      </c>
      <c r="G831" s="296" t="s">
        <v>984</v>
      </c>
      <c r="H831" s="112" t="s">
        <v>985</v>
      </c>
      <c r="I831" s="133"/>
      <c r="J831" s="133"/>
      <c r="K831" s="401">
        <v>50370</v>
      </c>
      <c r="L831" s="402" t="s">
        <v>82</v>
      </c>
      <c r="M831" s="402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>x</v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>x</v>
      </c>
      <c r="Y831" s="22" t="str">
        <f>IF(AND(B831&lt;=NKC!$N$8,B831&gt;=NKC!$M$8),"x","")</f>
        <v/>
      </c>
      <c r="Z831" s="563">
        <v>4</v>
      </c>
    </row>
    <row r="832" spans="1:26" ht="15.75" customHeight="1">
      <c r="A832" s="120" t="str">
        <f>IF(B832&lt;&gt;"",IF(AND(B832&gt;=_TM1,B832&lt;=_TM2,OR(TH!L832="1111",TH!M832="1111")),TH!D832,""),"")</f>
        <v>C37</v>
      </c>
      <c r="B832" s="12">
        <f t="shared" si="29"/>
        <v>12</v>
      </c>
      <c r="C832" s="105">
        <f t="shared" si="30"/>
        <v>42735</v>
      </c>
      <c r="D832" s="110" t="s">
        <v>1051</v>
      </c>
      <c r="E832" s="110">
        <v>42735</v>
      </c>
      <c r="F832" s="109" t="s">
        <v>983</v>
      </c>
      <c r="G832" s="296" t="s">
        <v>984</v>
      </c>
      <c r="H832" s="112" t="s">
        <v>985</v>
      </c>
      <c r="I832" s="133"/>
      <c r="J832" s="133"/>
      <c r="K832" s="401">
        <v>5037</v>
      </c>
      <c r="L832" s="402" t="s">
        <v>9</v>
      </c>
      <c r="M832" s="402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>x</v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/>
      </c>
      <c r="Z832" s="563">
        <v>4</v>
      </c>
    </row>
    <row r="833" spans="1:26" ht="15.75" customHeight="1">
      <c r="A833" s="120" t="str">
        <f>IF(B833&lt;&gt;"",IF(AND(B833&gt;=_TM1,B833&lt;=_TM2,OR(TH!L833="1111",TH!M833="1111")),TH!D833,""),"")</f>
        <v>C38</v>
      </c>
      <c r="B833" s="12">
        <f t="shared" si="29"/>
        <v>12</v>
      </c>
      <c r="C833" s="105">
        <f t="shared" si="30"/>
        <v>42735</v>
      </c>
      <c r="D833" s="110" t="s">
        <v>1052</v>
      </c>
      <c r="E833" s="110">
        <v>42735</v>
      </c>
      <c r="F833" s="109" t="s">
        <v>624</v>
      </c>
      <c r="G833" s="296"/>
      <c r="H833" s="112" t="s">
        <v>486</v>
      </c>
      <c r="I833" s="133"/>
      <c r="J833" s="133"/>
      <c r="K833" s="401">
        <f>ROUND((2*5000+3*10000+10*15000+2*25000+30000+40000)/1.1,0)</f>
        <v>281818</v>
      </c>
      <c r="L833" s="402" t="s">
        <v>253</v>
      </c>
      <c r="M833" s="402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>x</v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/>
      </c>
      <c r="Z833" s="563">
        <v>4</v>
      </c>
    </row>
    <row r="834" spans="1:26" ht="15.75" customHeight="1">
      <c r="A834" s="120" t="str">
        <f>IF(B834&lt;&gt;"",IF(AND(B834&gt;=_TM1,B834&lt;=_TM2,OR(TH!L834="1111",TH!M834="1111")),TH!D834,""),"")</f>
        <v>C38</v>
      </c>
      <c r="B834" s="12">
        <f t="shared" si="29"/>
        <v>12</v>
      </c>
      <c r="C834" s="105">
        <f t="shared" si="30"/>
        <v>42735</v>
      </c>
      <c r="D834" s="110" t="s">
        <v>1052</v>
      </c>
      <c r="E834" s="110">
        <v>42735</v>
      </c>
      <c r="F834" s="109" t="s">
        <v>625</v>
      </c>
      <c r="G834" s="296"/>
      <c r="H834" s="112" t="s">
        <v>486</v>
      </c>
      <c r="I834" s="133"/>
      <c r="J834" s="133"/>
      <c r="K834" s="401">
        <v>28182</v>
      </c>
      <c r="L834" s="402" t="s">
        <v>9</v>
      </c>
      <c r="M834" s="402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>x</v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/>
      </c>
      <c r="Z834" s="563">
        <v>4</v>
      </c>
    </row>
    <row r="835" spans="1:26" ht="15.75" customHeight="1">
      <c r="A835" s="120" t="str">
        <f>IF(B835&lt;&gt;"",IF(AND(B835&gt;=_TM1,B835&lt;=_TM2,OR(TH!L835="1111",TH!M835="1111")),TH!D835,""),"")</f>
        <v/>
      </c>
      <c r="B835" s="12">
        <f t="shared" si="29"/>
        <v>12</v>
      </c>
      <c r="C835" s="105">
        <f t="shared" si="30"/>
        <v>42735</v>
      </c>
      <c r="D835" s="105" t="s">
        <v>1080</v>
      </c>
      <c r="E835" s="110">
        <v>42735</v>
      </c>
      <c r="F835" s="111" t="s">
        <v>500</v>
      </c>
      <c r="G835" s="296" t="s">
        <v>942</v>
      </c>
      <c r="H835" s="4" t="s">
        <v>365</v>
      </c>
      <c r="I835" s="133">
        <f>1600+208</f>
        <v>1808</v>
      </c>
      <c r="J835" s="133">
        <v>13800</v>
      </c>
      <c r="K835" s="13">
        <f>ROUND(I835*J835,0)</f>
        <v>24950400</v>
      </c>
      <c r="L835" s="113" t="s">
        <v>251</v>
      </c>
      <c r="M835" s="402" t="s">
        <v>168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/>
      </c>
      <c r="Z835" s="563"/>
    </row>
    <row r="836" spans="1:26" ht="15.75" customHeight="1">
      <c r="A836" s="120" t="str">
        <f>IF(B836&lt;&gt;"",IF(AND(B836&gt;=_TM1,B836&lt;=_TM2,OR(TH!L836="1111",TH!M836="1111")),TH!D836,""),"")</f>
        <v/>
      </c>
      <c r="B836" s="12">
        <f t="shared" si="29"/>
        <v>12</v>
      </c>
      <c r="C836" s="105">
        <f t="shared" si="30"/>
        <v>42735</v>
      </c>
      <c r="D836" s="105" t="s">
        <v>1080</v>
      </c>
      <c r="E836" s="110">
        <v>42735</v>
      </c>
      <c r="F836" s="111" t="s">
        <v>375</v>
      </c>
      <c r="G836" s="296" t="s">
        <v>942</v>
      </c>
      <c r="H836" s="4" t="s">
        <v>365</v>
      </c>
      <c r="I836" s="134">
        <v>3616</v>
      </c>
      <c r="J836" s="133">
        <v>1300</v>
      </c>
      <c r="K836" s="13">
        <f>ROUND(I836*J836,0)</f>
        <v>4700800</v>
      </c>
      <c r="L836" s="113" t="s">
        <v>251</v>
      </c>
      <c r="M836" s="402" t="s">
        <v>168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/>
      </c>
      <c r="Z836" s="563"/>
    </row>
    <row r="837" spans="1:26" ht="15.75" customHeight="1">
      <c r="A837" s="120" t="str">
        <f>IF(B837&lt;&gt;"",IF(AND(B837&gt;=_TM1,B837&lt;=_TM2,OR(TH!L837="1111",TH!M837="1111")),TH!D837,""),"")</f>
        <v/>
      </c>
      <c r="B837" s="12">
        <f t="shared" si="29"/>
        <v>12</v>
      </c>
      <c r="C837" s="105">
        <f t="shared" si="30"/>
        <v>42735</v>
      </c>
      <c r="D837" s="105" t="s">
        <v>1080</v>
      </c>
      <c r="E837" s="110">
        <v>42735</v>
      </c>
      <c r="F837" s="109" t="s">
        <v>494</v>
      </c>
      <c r="G837" s="296" t="s">
        <v>942</v>
      </c>
      <c r="H837" s="4" t="s">
        <v>365</v>
      </c>
      <c r="I837" s="133"/>
      <c r="J837" s="133"/>
      <c r="K837" s="13">
        <v>2965120</v>
      </c>
      <c r="L837" s="113" t="s">
        <v>251</v>
      </c>
      <c r="M837" s="402" t="s">
        <v>350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/>
      </c>
      <c r="Z837" s="563"/>
    </row>
    <row r="838" spans="1:26" ht="15.75" customHeight="1">
      <c r="A838" s="120" t="str">
        <f>IF(B838&lt;&gt;"",IF(AND(B838&gt;=_TM1,B838&lt;=_TM2,OR(TH!L838="1111",TH!M838="1111")),TH!D838,""),"")</f>
        <v/>
      </c>
      <c r="B838" s="568">
        <f t="shared" si="29"/>
        <v>8</v>
      </c>
      <c r="C838" s="569">
        <f t="shared" si="30"/>
        <v>42599</v>
      </c>
      <c r="D838" s="552" t="s">
        <v>1020</v>
      </c>
      <c r="E838" s="552">
        <v>42599</v>
      </c>
      <c r="F838" s="553" t="s">
        <v>447</v>
      </c>
      <c r="G838" s="553" t="s">
        <v>726</v>
      </c>
      <c r="H838" s="570" t="s">
        <v>615</v>
      </c>
      <c r="I838" s="131">
        <v>206</v>
      </c>
      <c r="J838" s="131">
        <v>8900</v>
      </c>
      <c r="K838" s="21">
        <f t="shared" ref="K838:K843" si="33">ROUND(I838*J838,0)</f>
        <v>1833400</v>
      </c>
      <c r="L838" s="550" t="s">
        <v>166</v>
      </c>
      <c r="M838" s="550" t="s">
        <v>153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>x</v>
      </c>
      <c r="Z838" s="563"/>
    </row>
    <row r="839" spans="1:26" ht="15.75" customHeight="1">
      <c r="A839" s="120" t="str">
        <f>IF(B839&lt;&gt;"",IF(AND(B839&gt;=_TM1,B839&lt;=_TM2,OR(TH!L839="1111",TH!M839="1111")),TH!D839,""),"")</f>
        <v/>
      </c>
      <c r="B839" s="568">
        <f t="shared" si="29"/>
        <v>8</v>
      </c>
      <c r="C839" s="569">
        <f t="shared" si="30"/>
        <v>42601</v>
      </c>
      <c r="D839" s="552" t="s">
        <v>1020</v>
      </c>
      <c r="E839" s="552">
        <v>42601</v>
      </c>
      <c r="F839" s="553" t="s">
        <v>447</v>
      </c>
      <c r="G839" s="553" t="s">
        <v>727</v>
      </c>
      <c r="H839" s="553" t="s">
        <v>549</v>
      </c>
      <c r="I839" s="131">
        <v>166</v>
      </c>
      <c r="J839" s="131">
        <v>8900</v>
      </c>
      <c r="K839" s="21">
        <f t="shared" si="33"/>
        <v>1477400</v>
      </c>
      <c r="L839" s="550" t="s">
        <v>166</v>
      </c>
      <c r="M839" s="550" t="s">
        <v>153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>x</v>
      </c>
      <c r="Z839" s="563"/>
    </row>
    <row r="840" spans="1:26" ht="15.75" customHeight="1">
      <c r="A840" s="120" t="str">
        <f>IF(B840&lt;&gt;"",IF(AND(B840&gt;=_TM1,B840&lt;=_TM2,OR(TH!L840="1111",TH!M840="1111")),TH!D840,""),"")</f>
        <v/>
      </c>
      <c r="B840" s="568">
        <f t="shared" si="29"/>
        <v>9</v>
      </c>
      <c r="C840" s="569">
        <f t="shared" si="30"/>
        <v>42619</v>
      </c>
      <c r="D840" s="552" t="s">
        <v>1020</v>
      </c>
      <c r="E840" s="552">
        <v>42619</v>
      </c>
      <c r="F840" s="553" t="s">
        <v>447</v>
      </c>
      <c r="G840" s="554" t="s">
        <v>745</v>
      </c>
      <c r="H840" s="571" t="s">
        <v>615</v>
      </c>
      <c r="I840" s="572">
        <v>212</v>
      </c>
      <c r="J840" s="131">
        <v>8900</v>
      </c>
      <c r="K840" s="21">
        <f t="shared" si="33"/>
        <v>1886800</v>
      </c>
      <c r="L840" s="550" t="s">
        <v>166</v>
      </c>
      <c r="M840" s="550" t="s">
        <v>153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>x</v>
      </c>
      <c r="Z840" s="563"/>
    </row>
    <row r="841" spans="1:26" ht="15.75" customHeight="1">
      <c r="A841" s="120" t="str">
        <f>IF(B841&lt;&gt;"",IF(AND(B841&gt;=_TM1,B841&lt;=_TM2,OR(TH!L841="1111",TH!M841="1111")),TH!D841,""),"")</f>
        <v/>
      </c>
      <c r="B841" s="568">
        <f t="shared" si="29"/>
        <v>9</v>
      </c>
      <c r="C841" s="569">
        <f t="shared" si="30"/>
        <v>42619</v>
      </c>
      <c r="D841" s="552" t="s">
        <v>1020</v>
      </c>
      <c r="E841" s="552">
        <v>42619</v>
      </c>
      <c r="F841" s="553" t="s">
        <v>447</v>
      </c>
      <c r="G841" s="554" t="s">
        <v>747</v>
      </c>
      <c r="H841" s="571" t="s">
        <v>549</v>
      </c>
      <c r="I841" s="131">
        <v>247</v>
      </c>
      <c r="J841" s="131">
        <v>8900</v>
      </c>
      <c r="K841" s="21">
        <f t="shared" si="33"/>
        <v>2198300</v>
      </c>
      <c r="L841" s="550" t="s">
        <v>166</v>
      </c>
      <c r="M841" s="550" t="s">
        <v>153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>x</v>
      </c>
      <c r="Z841" s="563"/>
    </row>
    <row r="842" spans="1:26" ht="15.75" customHeight="1">
      <c r="A842" s="120" t="str">
        <f>IF(B842&lt;&gt;"",IF(AND(B842&gt;=_TM1,B842&lt;=_TM2,OR(TH!L842="1111",TH!M842="1111")),TH!D842,""),"")</f>
        <v/>
      </c>
      <c r="B842" s="568">
        <f t="shared" si="29"/>
        <v>9</v>
      </c>
      <c r="C842" s="569">
        <f t="shared" si="30"/>
        <v>42640</v>
      </c>
      <c r="D842" s="552" t="s">
        <v>1020</v>
      </c>
      <c r="E842" s="552">
        <v>42640</v>
      </c>
      <c r="F842" s="553" t="s">
        <v>447</v>
      </c>
      <c r="G842" s="554" t="s">
        <v>432</v>
      </c>
      <c r="H842" s="571" t="s">
        <v>549</v>
      </c>
      <c r="I842" s="131">
        <v>309</v>
      </c>
      <c r="J842" s="131">
        <v>8900</v>
      </c>
      <c r="K842" s="21">
        <f t="shared" si="33"/>
        <v>2750100</v>
      </c>
      <c r="L842" s="550" t="s">
        <v>166</v>
      </c>
      <c r="M842" s="550" t="s">
        <v>153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>x</v>
      </c>
      <c r="Z842" s="563"/>
    </row>
    <row r="843" spans="1:26" ht="15.75" customHeight="1">
      <c r="A843" s="120" t="str">
        <f>IF(B843&lt;&gt;"",IF(AND(B843&gt;=_TM1,B843&lt;=_TM2,OR(TH!L843="1111",TH!M843="1111")),TH!D843,""),"")</f>
        <v/>
      </c>
      <c r="B843" s="568">
        <f t="shared" si="29"/>
        <v>12</v>
      </c>
      <c r="C843" s="569">
        <f t="shared" si="30"/>
        <v>42724</v>
      </c>
      <c r="D843" s="552" t="s">
        <v>1020</v>
      </c>
      <c r="E843" s="552">
        <v>42724</v>
      </c>
      <c r="F843" s="553" t="s">
        <v>447</v>
      </c>
      <c r="G843" s="581" t="s">
        <v>888</v>
      </c>
      <c r="H843" s="571" t="s">
        <v>615</v>
      </c>
      <c r="I843" s="131">
        <v>243</v>
      </c>
      <c r="J843" s="131">
        <v>8900</v>
      </c>
      <c r="K843" s="21">
        <f t="shared" si="33"/>
        <v>2162700</v>
      </c>
      <c r="L843" s="550" t="s">
        <v>166</v>
      </c>
      <c r="M843" s="550" t="s">
        <v>153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/>
      </c>
      <c r="Z843" s="563"/>
    </row>
    <row r="844" spans="1:26" ht="15.75" customHeight="1">
      <c r="A844" s="120" t="str">
        <f>IF(B844&lt;&gt;"",IF(AND(B844&gt;=_TM1,B844&lt;=_TM2,OR(TH!L844="1111",TH!M844="1111")),TH!D844,""),"")</f>
        <v/>
      </c>
      <c r="B844" s="542">
        <f t="shared" ref="B844:B868" si="34">IF(C844&lt;&gt;"",MONTH(C844),"")</f>
        <v>6</v>
      </c>
      <c r="C844" s="543">
        <f t="shared" ref="C844:C849" si="35">E844</f>
        <v>42529</v>
      </c>
      <c r="D844" s="544" t="s">
        <v>1019</v>
      </c>
      <c r="E844" s="544">
        <v>42529</v>
      </c>
      <c r="F844" s="545" t="s">
        <v>403</v>
      </c>
      <c r="G844" s="545"/>
      <c r="H844" s="584" t="s">
        <v>1069</v>
      </c>
      <c r="I844" s="548">
        <v>10288</v>
      </c>
      <c r="J844" s="548">
        <v>7500</v>
      </c>
      <c r="K844" s="551">
        <f t="shared" ref="K844" si="36">ROUND(I844*J844,0)</f>
        <v>77160000</v>
      </c>
      <c r="L844" s="556" t="s">
        <v>159</v>
      </c>
      <c r="M844" s="556" t="s">
        <v>153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65"/>
    </row>
    <row r="845" spans="1:26" ht="15.75" customHeight="1">
      <c r="A845" s="120" t="str">
        <f>IF(B845&lt;&gt;"",IF(AND(B845&gt;=_TM1,B845&lt;=_TM2,OR(TH!L845="1111",TH!M845="1111")),TH!D845,""),"")</f>
        <v/>
      </c>
      <c r="B845" s="12">
        <f t="shared" si="34"/>
        <v>6</v>
      </c>
      <c r="C845" s="105">
        <f t="shared" si="35"/>
        <v>42542</v>
      </c>
      <c r="D845" s="110" t="s">
        <v>1019</v>
      </c>
      <c r="E845" s="486">
        <v>42542</v>
      </c>
      <c r="F845" s="111" t="s">
        <v>403</v>
      </c>
      <c r="G845" s="111"/>
      <c r="H845" s="125" t="s">
        <v>1069</v>
      </c>
      <c r="I845" s="136">
        <v>4094</v>
      </c>
      <c r="J845" s="136">
        <v>7600</v>
      </c>
      <c r="K845" s="13">
        <f t="shared" ref="K845:K862" si="37">ROUND(I845*J845,0)</f>
        <v>31114400</v>
      </c>
      <c r="L845" s="113" t="s">
        <v>159</v>
      </c>
      <c r="M845" s="113" t="s">
        <v>153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64"/>
    </row>
    <row r="846" spans="1:26" ht="15.75" customHeight="1">
      <c r="A846" s="120" t="str">
        <f>IF(B846&lt;&gt;"",IF(AND(B846&gt;=_TM1,B846&lt;=_TM2,OR(TH!L846="1111",TH!M846="1111")),TH!D846,""),"")</f>
        <v/>
      </c>
      <c r="B846" s="12">
        <f t="shared" si="34"/>
        <v>6</v>
      </c>
      <c r="C846" s="105">
        <f t="shared" si="35"/>
        <v>42542</v>
      </c>
      <c r="D846" s="110" t="s">
        <v>1019</v>
      </c>
      <c r="E846" s="110">
        <v>42542</v>
      </c>
      <c r="F846" s="111" t="s">
        <v>405</v>
      </c>
      <c r="G846" s="298"/>
      <c r="H846" s="125" t="s">
        <v>1069</v>
      </c>
      <c r="I846" s="133">
        <v>4522</v>
      </c>
      <c r="J846" s="133">
        <v>8500</v>
      </c>
      <c r="K846" s="13">
        <f t="shared" si="37"/>
        <v>38437000</v>
      </c>
      <c r="L846" s="113" t="s">
        <v>159</v>
      </c>
      <c r="M846" s="113" t="s">
        <v>153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64"/>
    </row>
    <row r="847" spans="1:26" ht="15.75" customHeight="1">
      <c r="A847" s="120" t="str">
        <f>IF(B847&lt;&gt;"",IF(AND(B847&gt;=_TM1,B847&lt;=_TM2,OR(TH!L847="1111",TH!M847="1111")),TH!D847,""),"")</f>
        <v/>
      </c>
      <c r="B847" s="12">
        <f t="shared" si="34"/>
        <v>6</v>
      </c>
      <c r="C847" s="105">
        <f t="shared" si="35"/>
        <v>42542</v>
      </c>
      <c r="D847" s="110" t="s">
        <v>1019</v>
      </c>
      <c r="E847" s="110">
        <v>42542</v>
      </c>
      <c r="F847" s="111" t="s">
        <v>448</v>
      </c>
      <c r="G847" s="111"/>
      <c r="H847" s="125" t="s">
        <v>1069</v>
      </c>
      <c r="I847" s="133">
        <v>2633</v>
      </c>
      <c r="J847" s="133">
        <v>8500</v>
      </c>
      <c r="K847" s="13">
        <f t="shared" si="37"/>
        <v>22380500</v>
      </c>
      <c r="L847" s="113" t="s">
        <v>159</v>
      </c>
      <c r="M847" s="113" t="s">
        <v>153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64"/>
    </row>
    <row r="848" spans="1:26" ht="15.75" customHeight="1">
      <c r="A848" s="120" t="str">
        <f>IF(B848&lt;&gt;"",IF(AND(B848&gt;=_TM1,B848&lt;=_TM2,OR(TH!L848="1111",TH!M848="1111")),TH!D848,""),"")</f>
        <v/>
      </c>
      <c r="B848" s="12">
        <f t="shared" si="34"/>
        <v>6</v>
      </c>
      <c r="C848" s="105">
        <f t="shared" si="35"/>
        <v>42551</v>
      </c>
      <c r="D848" s="110" t="s">
        <v>1019</v>
      </c>
      <c r="E848" s="110">
        <v>42551</v>
      </c>
      <c r="F848" s="111" t="s">
        <v>403</v>
      </c>
      <c r="G848" s="298"/>
      <c r="H848" s="125" t="s">
        <v>1069</v>
      </c>
      <c r="I848" s="133">
        <v>6226</v>
      </c>
      <c r="J848" s="133">
        <v>7600</v>
      </c>
      <c r="K848" s="13">
        <f t="shared" si="37"/>
        <v>47317600</v>
      </c>
      <c r="L848" s="113" t="s">
        <v>159</v>
      </c>
      <c r="M848" s="113" t="s">
        <v>153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64"/>
    </row>
    <row r="849" spans="1:26" ht="15.75" customHeight="1">
      <c r="A849" s="120" t="str">
        <f>IF(B849&lt;&gt;"",IF(AND(B849&gt;=_TM1,B849&lt;=_TM2,OR(TH!L849="1111",TH!M849="1111")),TH!D849,""),"")</f>
        <v/>
      </c>
      <c r="B849" s="12">
        <f t="shared" si="34"/>
        <v>6</v>
      </c>
      <c r="C849" s="105">
        <f t="shared" si="35"/>
        <v>42551</v>
      </c>
      <c r="D849" s="110" t="s">
        <v>1019</v>
      </c>
      <c r="E849" s="110">
        <v>42551</v>
      </c>
      <c r="F849" s="111" t="s">
        <v>405</v>
      </c>
      <c r="G849" s="111"/>
      <c r="H849" s="125" t="s">
        <v>1069</v>
      </c>
      <c r="I849" s="133">
        <v>8730</v>
      </c>
      <c r="J849" s="133">
        <v>8500</v>
      </c>
      <c r="K849" s="13">
        <f t="shared" si="37"/>
        <v>74205000</v>
      </c>
      <c r="L849" s="113" t="s">
        <v>159</v>
      </c>
      <c r="M849" s="113" t="s">
        <v>153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64"/>
    </row>
    <row r="850" spans="1:26" ht="15.75" customHeight="1">
      <c r="A850" s="120" t="str">
        <f>IF(B850&lt;&gt;"",IF(AND(B850&gt;=_TM1,B850&lt;=_TM2,OR(TH!L850="1111",TH!M850="1111")),TH!D850,""),"")</f>
        <v/>
      </c>
      <c r="B850" s="12">
        <f t="shared" si="34"/>
        <v>6</v>
      </c>
      <c r="C850" s="105">
        <f t="shared" ref="C850:C916" si="38">E850</f>
        <v>42551</v>
      </c>
      <c r="D850" s="110" t="s">
        <v>1019</v>
      </c>
      <c r="E850" s="110">
        <v>42551</v>
      </c>
      <c r="F850" s="111" t="s">
        <v>448</v>
      </c>
      <c r="G850" s="111"/>
      <c r="H850" s="125" t="s">
        <v>1069</v>
      </c>
      <c r="I850" s="133">
        <v>8191</v>
      </c>
      <c r="J850" s="133">
        <v>8500</v>
      </c>
      <c r="K850" s="13">
        <f t="shared" si="37"/>
        <v>69623500</v>
      </c>
      <c r="L850" s="113" t="s">
        <v>159</v>
      </c>
      <c r="M850" s="113" t="s">
        <v>153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64"/>
    </row>
    <row r="851" spans="1:26" ht="15.75" customHeight="1">
      <c r="A851" s="120" t="str">
        <f>IF(B851&lt;&gt;"",IF(AND(B851&gt;=_TM1,B851&lt;=_TM2,OR(TH!L851="1111",TH!M851="1111")),TH!D851,""),"")</f>
        <v/>
      </c>
      <c r="B851" s="542">
        <f t="shared" si="34"/>
        <v>7</v>
      </c>
      <c r="C851" s="543">
        <f t="shared" si="38"/>
        <v>42563</v>
      </c>
      <c r="D851" s="544" t="s">
        <v>1019</v>
      </c>
      <c r="E851" s="585">
        <v>42563</v>
      </c>
      <c r="F851" s="586" t="s">
        <v>403</v>
      </c>
      <c r="G851" s="545"/>
      <c r="H851" s="584" t="s">
        <v>1069</v>
      </c>
      <c r="I851" s="548">
        <v>11536</v>
      </c>
      <c r="J851" s="548">
        <v>7600</v>
      </c>
      <c r="K851" s="551">
        <f t="shared" si="37"/>
        <v>87673600</v>
      </c>
      <c r="L851" s="556" t="s">
        <v>159</v>
      </c>
      <c r="M851" s="556" t="s">
        <v>153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>x</v>
      </c>
      <c r="Z851" s="565"/>
    </row>
    <row r="852" spans="1:26" ht="15.75" customHeight="1">
      <c r="A852" s="120" t="str">
        <f>IF(B852&lt;&gt;"",IF(AND(B852&gt;=_TM1,B852&lt;=_TM2,OR(TH!L852="1111",TH!M852="1111")),TH!D852,""),"")</f>
        <v/>
      </c>
      <c r="B852" s="12">
        <f t="shared" si="34"/>
        <v>7</v>
      </c>
      <c r="C852" s="105">
        <f t="shared" si="38"/>
        <v>42563</v>
      </c>
      <c r="D852" s="110" t="s">
        <v>1019</v>
      </c>
      <c r="E852" s="110">
        <v>42563</v>
      </c>
      <c r="F852" s="109" t="s">
        <v>447</v>
      </c>
      <c r="G852" s="111"/>
      <c r="H852" s="125" t="s">
        <v>1069</v>
      </c>
      <c r="I852" s="133">
        <v>5979</v>
      </c>
      <c r="J852" s="133">
        <v>8900</v>
      </c>
      <c r="K852" s="13">
        <f t="shared" si="37"/>
        <v>53213100</v>
      </c>
      <c r="L852" s="113" t="s">
        <v>159</v>
      </c>
      <c r="M852" s="113" t="s">
        <v>153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>x</v>
      </c>
      <c r="Z852" s="564"/>
    </row>
    <row r="853" spans="1:26" ht="15.75" customHeight="1">
      <c r="A853" s="120" t="str">
        <f>IF(B853&lt;&gt;"",IF(AND(B853&gt;=_TM1,B853&lt;=_TM2,OR(TH!L853="1111",TH!M853="1111")),TH!D853,""),"")</f>
        <v/>
      </c>
      <c r="B853" s="12">
        <f t="shared" si="34"/>
        <v>7</v>
      </c>
      <c r="C853" s="105">
        <f t="shared" si="38"/>
        <v>42563</v>
      </c>
      <c r="D853" s="110" t="s">
        <v>1019</v>
      </c>
      <c r="E853" s="110">
        <v>42563</v>
      </c>
      <c r="F853" s="109" t="s">
        <v>448</v>
      </c>
      <c r="G853" s="111"/>
      <c r="H853" s="125" t="s">
        <v>1069</v>
      </c>
      <c r="I853" s="133">
        <v>4011</v>
      </c>
      <c r="J853" s="133">
        <v>8500</v>
      </c>
      <c r="K853" s="13">
        <f t="shared" si="37"/>
        <v>34093500</v>
      </c>
      <c r="L853" s="113" t="s">
        <v>159</v>
      </c>
      <c r="M853" s="113" t="s">
        <v>153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>x</v>
      </c>
      <c r="Z853" s="564"/>
    </row>
    <row r="854" spans="1:26" ht="15.75" customHeight="1">
      <c r="A854" s="120" t="str">
        <f>IF(B854&lt;&gt;"",IF(AND(B854&gt;=_TM1,B854&lt;=_TM2,OR(TH!L854="1111",TH!M854="1111")),TH!D854,""),"")</f>
        <v/>
      </c>
      <c r="B854" s="12">
        <f t="shared" si="34"/>
        <v>7</v>
      </c>
      <c r="C854" s="105">
        <f t="shared" si="38"/>
        <v>42580</v>
      </c>
      <c r="D854" s="110" t="s">
        <v>1019</v>
      </c>
      <c r="E854" s="110">
        <v>42580</v>
      </c>
      <c r="F854" s="109" t="s">
        <v>403</v>
      </c>
      <c r="G854" s="111"/>
      <c r="H854" s="125" t="s">
        <v>1069</v>
      </c>
      <c r="I854" s="133">
        <v>7756</v>
      </c>
      <c r="J854" s="133">
        <v>7600</v>
      </c>
      <c r="K854" s="13">
        <f t="shared" si="37"/>
        <v>58945600</v>
      </c>
      <c r="L854" s="113" t="s">
        <v>159</v>
      </c>
      <c r="M854" s="113" t="s">
        <v>153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>x</v>
      </c>
      <c r="Z854" s="564"/>
    </row>
    <row r="855" spans="1:26" ht="15.75" customHeight="1">
      <c r="A855" s="120" t="str">
        <f>IF(B855&lt;&gt;"",IF(AND(B855&gt;=_TM1,B855&lt;=_TM2,OR(TH!L855="1111",TH!M855="1111")),TH!D855,""),"")</f>
        <v/>
      </c>
      <c r="B855" s="12">
        <f t="shared" si="34"/>
        <v>7</v>
      </c>
      <c r="C855" s="105">
        <f t="shared" si="38"/>
        <v>42580</v>
      </c>
      <c r="D855" s="110" t="s">
        <v>1019</v>
      </c>
      <c r="E855" s="110">
        <v>42580</v>
      </c>
      <c r="F855" s="109" t="s">
        <v>447</v>
      </c>
      <c r="G855" s="111"/>
      <c r="H855" s="125" t="s">
        <v>1069</v>
      </c>
      <c r="I855" s="133">
        <v>2840</v>
      </c>
      <c r="J855" s="133">
        <v>8900</v>
      </c>
      <c r="K855" s="13">
        <f t="shared" si="37"/>
        <v>25276000</v>
      </c>
      <c r="L855" s="113" t="s">
        <v>159</v>
      </c>
      <c r="M855" s="113" t="s">
        <v>153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>x</v>
      </c>
      <c r="Z855" s="564"/>
    </row>
    <row r="856" spans="1:26" ht="15.75" customHeight="1">
      <c r="A856" s="120" t="str">
        <f>IF(B856&lt;&gt;"",IF(AND(B856&gt;=_TM1,B856&lt;=_TM2,OR(TH!L856="1111",TH!M856="1111")),TH!D856,""),"")</f>
        <v/>
      </c>
      <c r="B856" s="12">
        <f t="shared" si="34"/>
        <v>7</v>
      </c>
      <c r="C856" s="105">
        <f t="shared" si="38"/>
        <v>42580</v>
      </c>
      <c r="D856" s="110" t="s">
        <v>1019</v>
      </c>
      <c r="E856" s="110">
        <v>42580</v>
      </c>
      <c r="F856" s="109" t="s">
        <v>448</v>
      </c>
      <c r="G856" s="111"/>
      <c r="H856" s="125" t="s">
        <v>1069</v>
      </c>
      <c r="I856" s="133">
        <v>6881</v>
      </c>
      <c r="J856" s="133">
        <v>8500</v>
      </c>
      <c r="K856" s="13">
        <f t="shared" si="37"/>
        <v>58488500</v>
      </c>
      <c r="L856" s="113" t="s">
        <v>159</v>
      </c>
      <c r="M856" s="113" t="s">
        <v>153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>x</v>
      </c>
      <c r="Z856" s="564"/>
    </row>
    <row r="857" spans="1:26" ht="15.75" customHeight="1">
      <c r="A857" s="120" t="str">
        <f>IF(B857&lt;&gt;"",IF(AND(B857&gt;=_TM1,B857&lt;=_TM2,OR(TH!L857="1111",TH!M857="1111")),TH!D857,""),"")</f>
        <v/>
      </c>
      <c r="B857" s="12">
        <f t="shared" si="34"/>
        <v>10</v>
      </c>
      <c r="C857" s="105">
        <f t="shared" si="38"/>
        <v>42660</v>
      </c>
      <c r="D857" s="110" t="s">
        <v>1019</v>
      </c>
      <c r="E857" s="110">
        <v>42660</v>
      </c>
      <c r="F857" s="109" t="s">
        <v>781</v>
      </c>
      <c r="G857" s="298"/>
      <c r="H857" s="125" t="s">
        <v>1069</v>
      </c>
      <c r="I857" s="133">
        <v>8032</v>
      </c>
      <c r="J857" s="133">
        <v>7800</v>
      </c>
      <c r="K857" s="13">
        <f t="shared" si="37"/>
        <v>62649600</v>
      </c>
      <c r="L857" s="113" t="s">
        <v>159</v>
      </c>
      <c r="M857" s="113" t="s">
        <v>153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/>
      </c>
      <c r="Z857" s="564"/>
    </row>
    <row r="858" spans="1:26" ht="15.75" customHeight="1">
      <c r="A858" s="120" t="str">
        <f>IF(B858&lt;&gt;"",IF(AND(B858&gt;=_TM1,B858&lt;=_TM2,OR(TH!L858="1111",TH!M858="1111")),TH!D858,""),"")</f>
        <v/>
      </c>
      <c r="B858" s="12">
        <f t="shared" si="34"/>
        <v>10</v>
      </c>
      <c r="C858" s="105">
        <f t="shared" si="38"/>
        <v>42660</v>
      </c>
      <c r="D858" s="110" t="s">
        <v>1019</v>
      </c>
      <c r="E858" s="110">
        <v>42660</v>
      </c>
      <c r="F858" s="109" t="s">
        <v>781</v>
      </c>
      <c r="G858" s="111"/>
      <c r="H858" s="125" t="s">
        <v>1069</v>
      </c>
      <c r="I858" s="133">
        <v>7448</v>
      </c>
      <c r="J858" s="133">
        <v>8200</v>
      </c>
      <c r="K858" s="13">
        <f t="shared" si="37"/>
        <v>61073600</v>
      </c>
      <c r="L858" s="113" t="s">
        <v>159</v>
      </c>
      <c r="M858" s="113" t="s">
        <v>153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/>
      </c>
      <c r="Z858" s="564"/>
    </row>
    <row r="859" spans="1:26" ht="15.75" customHeight="1">
      <c r="A859" s="120" t="str">
        <f>IF(B859&lt;&gt;"",IF(AND(B859&gt;=_TM1,B859&lt;=_TM2,OR(TH!L859="1111",TH!M859="1111")),TH!D859,""),"")</f>
        <v/>
      </c>
      <c r="B859" s="12">
        <f t="shared" si="34"/>
        <v>10</v>
      </c>
      <c r="C859" s="105">
        <f t="shared" si="38"/>
        <v>42660</v>
      </c>
      <c r="D859" s="110" t="s">
        <v>1019</v>
      </c>
      <c r="E859" s="110">
        <v>42660</v>
      </c>
      <c r="F859" s="109" t="s">
        <v>781</v>
      </c>
      <c r="G859" s="298"/>
      <c r="H859" s="125" t="s">
        <v>1069</v>
      </c>
      <c r="I859" s="133">
        <v>2161</v>
      </c>
      <c r="J859" s="133">
        <v>8200</v>
      </c>
      <c r="K859" s="13">
        <f t="shared" si="37"/>
        <v>17720200</v>
      </c>
      <c r="L859" s="113" t="s">
        <v>159</v>
      </c>
      <c r="M859" s="113" t="s">
        <v>153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/>
      </c>
      <c r="Z859" s="564"/>
    </row>
    <row r="860" spans="1:26" ht="15.75" customHeight="1">
      <c r="A860" s="120" t="str">
        <f>IF(B860&lt;&gt;"",IF(AND(B860&gt;=_TM1,B860&lt;=_TM2,OR(TH!L860="1111",TH!M860="1111")),TH!D860,""),"")</f>
        <v/>
      </c>
      <c r="B860" s="12">
        <f t="shared" si="34"/>
        <v>10</v>
      </c>
      <c r="C860" s="105">
        <f t="shared" si="38"/>
        <v>42662</v>
      </c>
      <c r="D860" s="110" t="s">
        <v>1019</v>
      </c>
      <c r="E860" s="110">
        <v>42662</v>
      </c>
      <c r="F860" s="109" t="s">
        <v>781</v>
      </c>
      <c r="G860" s="111"/>
      <c r="H860" s="125" t="s">
        <v>1069</v>
      </c>
      <c r="I860" s="133">
        <v>6632</v>
      </c>
      <c r="J860" s="133">
        <v>8200</v>
      </c>
      <c r="K860" s="13">
        <f t="shared" si="37"/>
        <v>54382400</v>
      </c>
      <c r="L860" s="113" t="s">
        <v>159</v>
      </c>
      <c r="M860" s="113" t="s">
        <v>153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/>
      </c>
      <c r="Z860" s="564"/>
    </row>
    <row r="861" spans="1:26" ht="15.75" customHeight="1">
      <c r="A861" s="120" t="str">
        <f>IF(B861&lt;&gt;"",IF(AND(B861&gt;=_TM1,B861&lt;=_TM2,OR(TH!L861="1111",TH!M861="1111")),TH!D861,""),"")</f>
        <v/>
      </c>
      <c r="B861" s="12">
        <f t="shared" si="34"/>
        <v>10</v>
      </c>
      <c r="C861" s="105">
        <f t="shared" si="38"/>
        <v>42674</v>
      </c>
      <c r="D861" s="110" t="s">
        <v>1019</v>
      </c>
      <c r="E861" s="110">
        <v>42674</v>
      </c>
      <c r="F861" s="109" t="s">
        <v>877</v>
      </c>
      <c r="G861" s="298"/>
      <c r="H861" s="125" t="s">
        <v>1069</v>
      </c>
      <c r="I861" s="133">
        <v>28000</v>
      </c>
      <c r="J861" s="133">
        <v>8400</v>
      </c>
      <c r="K861" s="13">
        <f t="shared" si="37"/>
        <v>235200000</v>
      </c>
      <c r="L861" s="113" t="s">
        <v>159</v>
      </c>
      <c r="M861" s="113" t="s">
        <v>153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/>
      </c>
      <c r="Z861" s="564"/>
    </row>
    <row r="862" spans="1:26" ht="15.75" customHeight="1">
      <c r="A862" s="120" t="str">
        <f>IF(B862&lt;&gt;"",IF(AND(B862&gt;=_TM1,B862&lt;=_TM2,OR(TH!L862="1111",TH!M862="1111")),TH!D862,""),"")</f>
        <v/>
      </c>
      <c r="B862" s="542">
        <f t="shared" si="34"/>
        <v>8</v>
      </c>
      <c r="C862" s="543">
        <f t="shared" si="38"/>
        <v>42595</v>
      </c>
      <c r="D862" s="544" t="s">
        <v>1070</v>
      </c>
      <c r="E862" s="544">
        <v>42595</v>
      </c>
      <c r="F862" s="545" t="s">
        <v>442</v>
      </c>
      <c r="G862" s="545"/>
      <c r="H862" s="584" t="s">
        <v>1069</v>
      </c>
      <c r="I862" s="587">
        <v>19810</v>
      </c>
      <c r="J862" s="587">
        <v>780</v>
      </c>
      <c r="K862" s="551">
        <f t="shared" si="37"/>
        <v>15451800</v>
      </c>
      <c r="L862" s="556" t="s">
        <v>159</v>
      </c>
      <c r="M862" s="556" t="s">
        <v>155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>x</v>
      </c>
      <c r="Z862" s="565"/>
    </row>
    <row r="863" spans="1:26" ht="15.75" customHeight="1">
      <c r="A863" s="120" t="str">
        <f>IF(B863&lt;&gt;"",IF(AND(B863&gt;=_TM1,B863&lt;=_TM2,OR(TH!L863="1111",TH!M863="1111")),TH!D863,""),"")</f>
        <v/>
      </c>
      <c r="B863" s="568">
        <f t="shared" si="34"/>
        <v>8</v>
      </c>
      <c r="C863" s="569">
        <f t="shared" si="38"/>
        <v>42601</v>
      </c>
      <c r="D863" s="552" t="s">
        <v>1070</v>
      </c>
      <c r="E863" s="552">
        <v>42601</v>
      </c>
      <c r="F863" s="553" t="s">
        <v>442</v>
      </c>
      <c r="G863" s="554"/>
      <c r="H863" s="570" t="s">
        <v>1069</v>
      </c>
      <c r="I863" s="131">
        <v>14330</v>
      </c>
      <c r="J863" s="131">
        <v>780</v>
      </c>
      <c r="K863" s="21">
        <f t="shared" ref="K863:K879" si="39">ROUND(I863*J863,0)</f>
        <v>11177400</v>
      </c>
      <c r="L863" s="550" t="s">
        <v>159</v>
      </c>
      <c r="M863" s="550" t="s">
        <v>155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>x</v>
      </c>
      <c r="Z863" s="563"/>
    </row>
    <row r="864" spans="1:26" ht="15.75" customHeight="1">
      <c r="A864" s="120" t="str">
        <f>IF(B864&lt;&gt;"",IF(AND(B864&gt;=_TM1,B864&lt;=_TM2,OR(TH!L864="1111",TH!M864="1111")),TH!D864,""),"")</f>
        <v/>
      </c>
      <c r="B864" s="568">
        <f t="shared" si="34"/>
        <v>8</v>
      </c>
      <c r="C864" s="569">
        <f t="shared" si="38"/>
        <v>42613</v>
      </c>
      <c r="D864" s="552" t="s">
        <v>1070</v>
      </c>
      <c r="E864" s="552">
        <v>42613</v>
      </c>
      <c r="F864" s="553" t="s">
        <v>442</v>
      </c>
      <c r="G864" s="553"/>
      <c r="H864" s="570" t="s">
        <v>1069</v>
      </c>
      <c r="I864" s="572">
        <v>12830</v>
      </c>
      <c r="J864" s="572">
        <v>780</v>
      </c>
      <c r="K864" s="21">
        <f t="shared" si="39"/>
        <v>10007400</v>
      </c>
      <c r="L864" s="550" t="s">
        <v>159</v>
      </c>
      <c r="M864" s="550" t="s">
        <v>155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>x</v>
      </c>
      <c r="Z864" s="563"/>
    </row>
    <row r="865" spans="1:26" ht="15.75" customHeight="1">
      <c r="A865" s="120" t="str">
        <f>IF(B865&lt;&gt;"",IF(AND(B865&gt;=_TM1,B865&lt;=_TM2,OR(TH!L865="1111",TH!M865="1111")),TH!D865,""),"")</f>
        <v/>
      </c>
      <c r="B865" s="568">
        <f t="shared" si="34"/>
        <v>9</v>
      </c>
      <c r="C865" s="569">
        <f t="shared" si="38"/>
        <v>42625</v>
      </c>
      <c r="D865" s="552" t="s">
        <v>1070</v>
      </c>
      <c r="E865" s="552">
        <v>42625</v>
      </c>
      <c r="F865" s="553" t="s">
        <v>775</v>
      </c>
      <c r="G865" s="553"/>
      <c r="H865" s="570" t="s">
        <v>1069</v>
      </c>
      <c r="I865" s="131">
        <v>21050</v>
      </c>
      <c r="J865" s="131">
        <v>750</v>
      </c>
      <c r="K865" s="21">
        <f t="shared" si="39"/>
        <v>15787500</v>
      </c>
      <c r="L865" s="550" t="s">
        <v>159</v>
      </c>
      <c r="M865" s="550" t="s">
        <v>155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>x</v>
      </c>
      <c r="Z865" s="563"/>
    </row>
    <row r="866" spans="1:26" ht="15.75" customHeight="1">
      <c r="A866" s="120" t="str">
        <f>IF(B866&lt;&gt;"",IF(AND(B866&gt;=_TM1,B866&lt;=_TM2,OR(TH!L866="1111",TH!M866="1111")),TH!D866,""),"")</f>
        <v/>
      </c>
      <c r="B866" s="568">
        <f t="shared" si="34"/>
        <v>9</v>
      </c>
      <c r="C866" s="569">
        <f t="shared" si="38"/>
        <v>42630</v>
      </c>
      <c r="D866" s="552" t="s">
        <v>1070</v>
      </c>
      <c r="E866" s="552">
        <v>42630</v>
      </c>
      <c r="F866" s="553" t="s">
        <v>442</v>
      </c>
      <c r="G866" s="553"/>
      <c r="H866" s="570" t="s">
        <v>1069</v>
      </c>
      <c r="I866" s="572">
        <v>18500</v>
      </c>
      <c r="J866" s="572">
        <v>780</v>
      </c>
      <c r="K866" s="21">
        <f t="shared" si="39"/>
        <v>14430000</v>
      </c>
      <c r="L866" s="550" t="s">
        <v>159</v>
      </c>
      <c r="M866" s="550" t="s">
        <v>155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>x</v>
      </c>
      <c r="Z866" s="563"/>
    </row>
    <row r="867" spans="1:26" ht="15.75" customHeight="1">
      <c r="A867" s="120" t="str">
        <f>IF(B867&lt;&gt;"",IF(AND(B867&gt;=_TM1,B867&lt;=_TM2,OR(TH!L867="1111",TH!M867="1111")),TH!D867,""),"")</f>
        <v/>
      </c>
      <c r="B867" s="568">
        <f t="shared" si="34"/>
        <v>9</v>
      </c>
      <c r="C867" s="569">
        <f t="shared" si="38"/>
        <v>42633</v>
      </c>
      <c r="D867" s="552" t="s">
        <v>1070</v>
      </c>
      <c r="E867" s="552">
        <v>42633</v>
      </c>
      <c r="F867" s="553" t="s">
        <v>775</v>
      </c>
      <c r="G867" s="553"/>
      <c r="H867" s="570" t="s">
        <v>1069</v>
      </c>
      <c r="I867" s="131">
        <v>22450</v>
      </c>
      <c r="J867" s="131">
        <v>750</v>
      </c>
      <c r="K867" s="21">
        <f t="shared" si="39"/>
        <v>16837500</v>
      </c>
      <c r="L867" s="550" t="s">
        <v>159</v>
      </c>
      <c r="M867" s="550" t="s">
        <v>155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>x</v>
      </c>
      <c r="Z867" s="563"/>
    </row>
    <row r="868" spans="1:26" ht="15.75" customHeight="1">
      <c r="A868" s="120" t="str">
        <f>IF(B868&lt;&gt;"",IF(AND(B868&gt;=_TM1,B868&lt;=_TM2,OR(TH!L868="1111",TH!M868="1111")),TH!D868,""),"")</f>
        <v/>
      </c>
      <c r="B868" s="542">
        <f t="shared" si="34"/>
        <v>10</v>
      </c>
      <c r="C868" s="543">
        <f t="shared" si="38"/>
        <v>42652</v>
      </c>
      <c r="D868" s="544" t="s">
        <v>1070</v>
      </c>
      <c r="E868" s="544">
        <v>42652</v>
      </c>
      <c r="F868" s="545" t="s">
        <v>775</v>
      </c>
      <c r="G868" s="546"/>
      <c r="H868" s="584" t="s">
        <v>1069</v>
      </c>
      <c r="I868" s="588">
        <v>13490</v>
      </c>
      <c r="J868" s="588">
        <v>750</v>
      </c>
      <c r="K868" s="551">
        <f t="shared" si="39"/>
        <v>10117500</v>
      </c>
      <c r="L868" s="556" t="s">
        <v>159</v>
      </c>
      <c r="M868" s="556" t="s">
        <v>155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/>
      </c>
      <c r="Z868" s="565"/>
    </row>
    <row r="869" spans="1:26" ht="15.75" customHeight="1">
      <c r="A869" s="120" t="str">
        <f>IF(B869&lt;&gt;"",IF(AND(B869&gt;=_TM1,B869&lt;=_TM2,OR(TH!L869="1111",TH!M869="1111")),TH!D869,""),"")</f>
        <v/>
      </c>
      <c r="B869" s="568">
        <f t="shared" ref="B869:B935" si="40">IF(C869&lt;&gt;"",MONTH(C869),"")</f>
        <v>10</v>
      </c>
      <c r="C869" s="569">
        <f t="shared" si="38"/>
        <v>42657</v>
      </c>
      <c r="D869" s="552" t="s">
        <v>1070</v>
      </c>
      <c r="E869" s="552">
        <v>42657</v>
      </c>
      <c r="F869" s="553" t="s">
        <v>775</v>
      </c>
      <c r="G869" s="554"/>
      <c r="H869" s="570" t="s">
        <v>1069</v>
      </c>
      <c r="I869" s="131">
        <v>16010</v>
      </c>
      <c r="J869" s="132">
        <v>800</v>
      </c>
      <c r="K869" s="21">
        <f t="shared" si="39"/>
        <v>12808000</v>
      </c>
      <c r="L869" s="550" t="s">
        <v>159</v>
      </c>
      <c r="M869" s="550" t="s">
        <v>155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/>
      </c>
      <c r="Z869" s="563"/>
    </row>
    <row r="870" spans="1:26" ht="15.75" customHeight="1">
      <c r="A870" s="120" t="str">
        <f>IF(B870&lt;&gt;"",IF(AND(B870&gt;=_TM1,B870&lt;=_TM2,OR(TH!L870="1111",TH!M870="1111")),TH!D870,""),"")</f>
        <v/>
      </c>
      <c r="B870" s="568">
        <f t="shared" si="40"/>
        <v>10</v>
      </c>
      <c r="C870" s="569">
        <f t="shared" si="38"/>
        <v>42665</v>
      </c>
      <c r="D870" s="552" t="s">
        <v>1070</v>
      </c>
      <c r="E870" s="552">
        <v>42665</v>
      </c>
      <c r="F870" s="553" t="s">
        <v>775</v>
      </c>
      <c r="G870" s="554"/>
      <c r="H870" s="570" t="s">
        <v>1069</v>
      </c>
      <c r="I870" s="131">
        <v>13030</v>
      </c>
      <c r="J870" s="131">
        <v>800</v>
      </c>
      <c r="K870" s="21">
        <f t="shared" si="39"/>
        <v>10424000</v>
      </c>
      <c r="L870" s="550" t="s">
        <v>159</v>
      </c>
      <c r="M870" s="550" t="s">
        <v>155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/>
      </c>
      <c r="Z870" s="563"/>
    </row>
    <row r="871" spans="1:26" ht="15.75" customHeight="1">
      <c r="A871" s="120" t="str">
        <f>IF(B871&lt;&gt;"",IF(AND(B871&gt;=_TM1,B871&lt;=_TM2,OR(TH!L871="1111",TH!M871="1111")),TH!D871,""),"")</f>
        <v/>
      </c>
      <c r="B871" s="568">
        <f t="shared" si="40"/>
        <v>11</v>
      </c>
      <c r="C871" s="569">
        <f t="shared" si="38"/>
        <v>42678</v>
      </c>
      <c r="D871" s="552" t="s">
        <v>1070</v>
      </c>
      <c r="E871" s="552">
        <v>42678</v>
      </c>
      <c r="F871" s="553" t="s">
        <v>860</v>
      </c>
      <c r="G871" s="553"/>
      <c r="H871" s="570" t="s">
        <v>1069</v>
      </c>
      <c r="I871" s="131">
        <v>430</v>
      </c>
      <c r="J871" s="131">
        <v>23500</v>
      </c>
      <c r="K871" s="21">
        <f t="shared" si="39"/>
        <v>10105000</v>
      </c>
      <c r="L871" s="550" t="s">
        <v>159</v>
      </c>
      <c r="M871" s="550" t="s">
        <v>155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/>
      </c>
      <c r="Z871" s="563"/>
    </row>
    <row r="872" spans="1:26" ht="15.75" customHeight="1">
      <c r="A872" s="120" t="str">
        <f>IF(B872&lt;&gt;"",IF(AND(B872&gt;=_TM1,B872&lt;=_TM2,OR(TH!L872="1111",TH!M872="1111")),TH!D872,""),"")</f>
        <v/>
      </c>
      <c r="B872" s="568">
        <f t="shared" si="40"/>
        <v>11</v>
      </c>
      <c r="C872" s="569">
        <f t="shared" si="38"/>
        <v>42678</v>
      </c>
      <c r="D872" s="552" t="s">
        <v>1070</v>
      </c>
      <c r="E872" s="552">
        <v>42678</v>
      </c>
      <c r="F872" s="553" t="s">
        <v>862</v>
      </c>
      <c r="G872" s="553"/>
      <c r="H872" s="570" t="s">
        <v>1069</v>
      </c>
      <c r="I872" s="131">
        <v>250</v>
      </c>
      <c r="J872" s="131">
        <v>9000</v>
      </c>
      <c r="K872" s="21">
        <f t="shared" si="39"/>
        <v>2250000</v>
      </c>
      <c r="L872" s="550" t="s">
        <v>159</v>
      </c>
      <c r="M872" s="550" t="s">
        <v>155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/>
      </c>
      <c r="Z872" s="563"/>
    </row>
    <row r="873" spans="1:26" ht="15.75" customHeight="1">
      <c r="A873" s="120" t="str">
        <f>IF(B873&lt;&gt;"",IF(AND(B873&gt;=_TM1,B873&lt;=_TM2,OR(TH!L873="1111",TH!M873="1111")),TH!D873,""),"")</f>
        <v/>
      </c>
      <c r="B873" s="568">
        <f t="shared" ref="B873:B875" si="41">IF(C873&lt;&gt;"",MONTH(C873),"")</f>
        <v>11</v>
      </c>
      <c r="C873" s="569">
        <f t="shared" ref="C873:C875" si="42">E873</f>
        <v>42684</v>
      </c>
      <c r="D873" s="552" t="s">
        <v>1070</v>
      </c>
      <c r="E873" s="552">
        <v>42684</v>
      </c>
      <c r="F873" s="553" t="s">
        <v>862</v>
      </c>
      <c r="G873" s="553"/>
      <c r="H873" s="570" t="s">
        <v>1069</v>
      </c>
      <c r="I873" s="131">
        <v>2000</v>
      </c>
      <c r="J873" s="131">
        <v>9000</v>
      </c>
      <c r="K873" s="21">
        <f t="shared" ref="K873:K875" si="43">ROUND(I873*J873,0)</f>
        <v>18000000</v>
      </c>
      <c r="L873" s="550" t="s">
        <v>159</v>
      </c>
      <c r="M873" s="550" t="s">
        <v>155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/>
      </c>
      <c r="Z873" s="563"/>
    </row>
    <row r="874" spans="1:26" ht="15.75" customHeight="1">
      <c r="A874" s="120" t="str">
        <f>IF(B874&lt;&gt;"",IF(AND(B874&gt;=_TM1,B874&lt;=_TM2,OR(TH!L874="1111",TH!M874="1111")),TH!D874,""),"")</f>
        <v/>
      </c>
      <c r="B874" s="568">
        <f t="shared" si="41"/>
        <v>11</v>
      </c>
      <c r="C874" s="569">
        <f t="shared" si="42"/>
        <v>42688</v>
      </c>
      <c r="D874" s="552" t="s">
        <v>1070</v>
      </c>
      <c r="E874" s="552">
        <v>42688</v>
      </c>
      <c r="F874" s="553" t="s">
        <v>775</v>
      </c>
      <c r="G874" s="553"/>
      <c r="H874" s="570" t="s">
        <v>1069</v>
      </c>
      <c r="I874" s="131">
        <v>18190</v>
      </c>
      <c r="J874" s="131">
        <v>800</v>
      </c>
      <c r="K874" s="21">
        <f t="shared" si="43"/>
        <v>14552000</v>
      </c>
      <c r="L874" s="550" t="s">
        <v>159</v>
      </c>
      <c r="M874" s="550" t="s">
        <v>155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/>
      </c>
      <c r="Z874" s="563"/>
    </row>
    <row r="875" spans="1:26" ht="15.75" customHeight="1">
      <c r="A875" s="120" t="str">
        <f>IF(B875&lt;&gt;"",IF(AND(B875&gt;=_TM1,B875&lt;=_TM2,OR(TH!L875="1111",TH!M875="1111")),TH!D875,""),"")</f>
        <v/>
      </c>
      <c r="B875" s="568">
        <f t="shared" si="41"/>
        <v>11</v>
      </c>
      <c r="C875" s="569">
        <f t="shared" si="42"/>
        <v>42698</v>
      </c>
      <c r="D875" s="552" t="s">
        <v>1070</v>
      </c>
      <c r="E875" s="552">
        <v>42698</v>
      </c>
      <c r="F875" s="553" t="s">
        <v>775</v>
      </c>
      <c r="G875" s="553"/>
      <c r="H875" s="570" t="s">
        <v>1069</v>
      </c>
      <c r="I875" s="572">
        <v>17050</v>
      </c>
      <c r="J875" s="572">
        <v>800</v>
      </c>
      <c r="K875" s="21">
        <f t="shared" si="43"/>
        <v>13640000</v>
      </c>
      <c r="L875" s="550" t="s">
        <v>159</v>
      </c>
      <c r="M875" s="550" t="s">
        <v>155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/>
      </c>
      <c r="Z875" s="563"/>
    </row>
    <row r="876" spans="1:26" ht="15.75" customHeight="1">
      <c r="A876" s="120" t="str">
        <f>IF(B876&lt;&gt;"",IF(AND(B876&gt;=_TM1,B876&lt;=_TM2,OR(TH!L876="1111",TH!M876="1111")),TH!D876,""),"")</f>
        <v/>
      </c>
      <c r="B876" s="568">
        <f t="shared" si="40"/>
        <v>12</v>
      </c>
      <c r="C876" s="569">
        <f t="shared" si="38"/>
        <v>42712</v>
      </c>
      <c r="D876" s="552" t="s">
        <v>1070</v>
      </c>
      <c r="E876" s="552">
        <v>42712</v>
      </c>
      <c r="F876" s="553" t="s">
        <v>442</v>
      </c>
      <c r="G876" s="553"/>
      <c r="H876" s="570" t="s">
        <v>1069</v>
      </c>
      <c r="I876" s="131">
        <v>19820</v>
      </c>
      <c r="J876" s="131">
        <v>800</v>
      </c>
      <c r="K876" s="21">
        <f t="shared" si="39"/>
        <v>15856000</v>
      </c>
      <c r="L876" s="550" t="s">
        <v>159</v>
      </c>
      <c r="M876" s="550" t="s">
        <v>155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/>
      </c>
      <c r="Z876" s="563"/>
    </row>
    <row r="877" spans="1:26" ht="15.75" customHeight="1">
      <c r="A877" s="120" t="str">
        <f>IF(B877&lt;&gt;"",IF(AND(B877&gt;=_TM1,B877&lt;=_TM2,OR(TH!L877="1111",TH!M877="1111")),TH!D877,""),"")</f>
        <v/>
      </c>
      <c r="B877" s="568">
        <f t="shared" si="40"/>
        <v>12</v>
      </c>
      <c r="C877" s="569">
        <f t="shared" si="38"/>
        <v>42723</v>
      </c>
      <c r="D877" s="552" t="s">
        <v>1070</v>
      </c>
      <c r="E877" s="552">
        <v>42723</v>
      </c>
      <c r="F877" s="553" t="s">
        <v>442</v>
      </c>
      <c r="G877" s="553"/>
      <c r="H877" s="570" t="s">
        <v>1069</v>
      </c>
      <c r="I877" s="131">
        <v>6950</v>
      </c>
      <c r="J877" s="131">
        <v>800</v>
      </c>
      <c r="K877" s="21">
        <f t="shared" si="39"/>
        <v>5560000</v>
      </c>
      <c r="L877" s="550" t="s">
        <v>159</v>
      </c>
      <c r="M877" s="550" t="s">
        <v>155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/>
      </c>
      <c r="Z877" s="563"/>
    </row>
    <row r="878" spans="1:26" ht="15.75" customHeight="1">
      <c r="A878" s="120" t="str">
        <f>IF(B878&lt;&gt;"",IF(AND(B878&gt;=_TM1,B878&lt;=_TM2,OR(TH!L878="1111",TH!M878="1111")),TH!D878,""),"")</f>
        <v/>
      </c>
      <c r="B878" s="568">
        <f t="shared" si="40"/>
        <v>12</v>
      </c>
      <c r="C878" s="569">
        <f t="shared" si="38"/>
        <v>42730</v>
      </c>
      <c r="D878" s="552" t="s">
        <v>1070</v>
      </c>
      <c r="E878" s="552">
        <v>42730</v>
      </c>
      <c r="F878" s="553" t="s">
        <v>860</v>
      </c>
      <c r="G878" s="553"/>
      <c r="H878" s="570" t="s">
        <v>1069</v>
      </c>
      <c r="I878" s="572">
        <v>400</v>
      </c>
      <c r="J878" s="572">
        <v>23500</v>
      </c>
      <c r="K878" s="21">
        <f t="shared" si="39"/>
        <v>9400000</v>
      </c>
      <c r="L878" s="550" t="s">
        <v>159</v>
      </c>
      <c r="M878" s="550" t="s">
        <v>155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/>
      </c>
      <c r="Z878" s="563"/>
    </row>
    <row r="879" spans="1:26" ht="15.75" customHeight="1">
      <c r="A879" s="120" t="str">
        <f>IF(B879&lt;&gt;"",IF(AND(B879&gt;=_TM1,B879&lt;=_TM2,OR(TH!L879="1111",TH!M879="1111")),TH!D879,""),"")</f>
        <v/>
      </c>
      <c r="B879" s="542">
        <f t="shared" si="40"/>
        <v>7</v>
      </c>
      <c r="C879" s="543">
        <f t="shared" si="38"/>
        <v>42566</v>
      </c>
      <c r="D879" s="544" t="s">
        <v>1071</v>
      </c>
      <c r="E879" s="595">
        <v>42566</v>
      </c>
      <c r="F879" s="596" t="s">
        <v>491</v>
      </c>
      <c r="G879" s="597" t="s">
        <v>697</v>
      </c>
      <c r="H879" s="598" t="s">
        <v>1072</v>
      </c>
      <c r="I879" s="548">
        <v>73</v>
      </c>
      <c r="J879" s="548">
        <v>43030.791972046798</v>
      </c>
      <c r="K879" s="551">
        <f t="shared" si="39"/>
        <v>3141248</v>
      </c>
      <c r="L879" s="556" t="s">
        <v>161</v>
      </c>
      <c r="M879" s="556" t="s">
        <v>159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>x</v>
      </c>
      <c r="Z879" s="565"/>
    </row>
    <row r="880" spans="1:26" ht="15.75" customHeight="1">
      <c r="A880" s="120" t="str">
        <f>IF(B880&lt;&gt;"",IF(AND(B880&gt;=_TM1,B880&lt;=_TM2,OR(TH!L880="1111",TH!M880="1111")),TH!D880,""),"")</f>
        <v/>
      </c>
      <c r="B880" s="12">
        <f t="shared" si="40"/>
        <v>7</v>
      </c>
      <c r="C880" s="105">
        <f t="shared" si="38"/>
        <v>42566</v>
      </c>
      <c r="D880" s="110" t="s">
        <v>1071</v>
      </c>
      <c r="E880" s="474">
        <v>42566</v>
      </c>
      <c r="F880" s="161" t="s">
        <v>495</v>
      </c>
      <c r="G880" s="475" t="s">
        <v>698</v>
      </c>
      <c r="H880" s="112" t="s">
        <v>1072</v>
      </c>
      <c r="I880" s="134">
        <v>100</v>
      </c>
      <c r="J880" s="134">
        <v>32314.311212724799</v>
      </c>
      <c r="K880" s="13">
        <f t="shared" ref="K880:K933" si="44">ROUND(I880*J880,0)</f>
        <v>3231431</v>
      </c>
      <c r="L880" s="113" t="s">
        <v>161</v>
      </c>
      <c r="M880" s="113" t="s">
        <v>159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>x</v>
      </c>
      <c r="Z880" s="564"/>
    </row>
    <row r="881" spans="1:26" ht="15.75" customHeight="1">
      <c r="A881" s="120" t="str">
        <f>IF(B881&lt;&gt;"",IF(AND(B881&gt;=_TM1,B881&lt;=_TM2,OR(TH!L881="1111",TH!M881="1111")),TH!D881,""),"")</f>
        <v/>
      </c>
      <c r="B881" s="12">
        <f t="shared" si="40"/>
        <v>7</v>
      </c>
      <c r="C881" s="105">
        <f t="shared" si="38"/>
        <v>42566</v>
      </c>
      <c r="D881" s="110" t="s">
        <v>1071</v>
      </c>
      <c r="E881" s="474">
        <v>42566</v>
      </c>
      <c r="F881" s="161" t="s">
        <v>496</v>
      </c>
      <c r="G881" s="475" t="s">
        <v>698</v>
      </c>
      <c r="H881" s="112" t="s">
        <v>1072</v>
      </c>
      <c r="I881" s="133">
        <v>116</v>
      </c>
      <c r="J881" s="133">
        <v>62320.457338826389</v>
      </c>
      <c r="K881" s="13">
        <f t="shared" si="44"/>
        <v>7229173</v>
      </c>
      <c r="L881" s="113" t="s">
        <v>161</v>
      </c>
      <c r="M881" s="113" t="s">
        <v>159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>x</v>
      </c>
      <c r="Z881" s="564"/>
    </row>
    <row r="882" spans="1:26" ht="15.75" customHeight="1">
      <c r="A882" s="120" t="str">
        <f>IF(B882&lt;&gt;"",IF(AND(B882&gt;=_TM1,B882&lt;=_TM2,OR(TH!L882="1111",TH!M882="1111")),TH!D882,""),"")</f>
        <v/>
      </c>
      <c r="B882" s="12">
        <f t="shared" si="40"/>
        <v>7</v>
      </c>
      <c r="C882" s="105">
        <f t="shared" si="38"/>
        <v>42566</v>
      </c>
      <c r="D882" s="110" t="s">
        <v>1071</v>
      </c>
      <c r="E882" s="474">
        <v>42566</v>
      </c>
      <c r="F882" s="161" t="s">
        <v>497</v>
      </c>
      <c r="G882" s="475" t="s">
        <v>699</v>
      </c>
      <c r="H882" s="112" t="s">
        <v>1072</v>
      </c>
      <c r="I882" s="133">
        <v>220</v>
      </c>
      <c r="J882" s="133">
        <v>22504.609594576199</v>
      </c>
      <c r="K882" s="13">
        <f t="shared" si="44"/>
        <v>4951014</v>
      </c>
      <c r="L882" s="113" t="s">
        <v>161</v>
      </c>
      <c r="M882" s="113" t="s">
        <v>159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>x</v>
      </c>
      <c r="Z882" s="564"/>
    </row>
    <row r="883" spans="1:26" ht="15.75" customHeight="1">
      <c r="A883" s="120" t="str">
        <f>IF(B883&lt;&gt;"",IF(AND(B883&gt;=_TM1,B883&lt;=_TM2,OR(TH!L883="1111",TH!M883="1111")),TH!D883,""),"")</f>
        <v/>
      </c>
      <c r="B883" s="12">
        <f t="shared" si="40"/>
        <v>7</v>
      </c>
      <c r="C883" s="105">
        <f t="shared" si="38"/>
        <v>42566</v>
      </c>
      <c r="D883" s="110" t="s">
        <v>1071</v>
      </c>
      <c r="E883" s="474">
        <v>42566</v>
      </c>
      <c r="F883" s="161" t="s">
        <v>498</v>
      </c>
      <c r="G883" s="475" t="s">
        <v>699</v>
      </c>
      <c r="H883" s="112" t="s">
        <v>1072</v>
      </c>
      <c r="I883" s="133">
        <v>357</v>
      </c>
      <c r="J883" s="133">
        <v>10551.611824563199</v>
      </c>
      <c r="K883" s="13">
        <f t="shared" si="44"/>
        <v>3766925</v>
      </c>
      <c r="L883" s="113" t="s">
        <v>161</v>
      </c>
      <c r="M883" s="113" t="s">
        <v>159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>x</v>
      </c>
      <c r="Z883" s="564"/>
    </row>
    <row r="884" spans="1:26" ht="15.75" customHeight="1">
      <c r="A884" s="120" t="str">
        <f>IF(B884&lt;&gt;"",IF(AND(B884&gt;=_TM1,B884&lt;=_TM2,OR(TH!L884="1111",TH!M884="1111")),TH!D884,""),"")</f>
        <v/>
      </c>
      <c r="B884" s="12">
        <f t="shared" si="40"/>
        <v>7</v>
      </c>
      <c r="C884" s="105">
        <f t="shared" si="38"/>
        <v>42566</v>
      </c>
      <c r="D884" s="110" t="s">
        <v>1071</v>
      </c>
      <c r="E884" s="474">
        <v>42566</v>
      </c>
      <c r="F884" s="161" t="s">
        <v>499</v>
      </c>
      <c r="G884" s="475" t="s">
        <v>699</v>
      </c>
      <c r="H884" s="112" t="s">
        <v>1072</v>
      </c>
      <c r="I884" s="133">
        <v>70</v>
      </c>
      <c r="J884" s="133">
        <v>11046.218628839601</v>
      </c>
      <c r="K884" s="13">
        <f t="shared" si="44"/>
        <v>773235</v>
      </c>
      <c r="L884" s="113" t="s">
        <v>161</v>
      </c>
      <c r="M884" s="113" t="s">
        <v>159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>x</v>
      </c>
      <c r="Z884" s="564"/>
    </row>
    <row r="885" spans="1:26" ht="15.75" customHeight="1">
      <c r="A885" s="120" t="str">
        <f>IF(B885&lt;&gt;"",IF(AND(B885&gt;=_TM1,B885&lt;=_TM2,OR(TH!L885="1111",TH!M885="1111")),TH!D885,""),"")</f>
        <v/>
      </c>
      <c r="B885" s="12">
        <f t="shared" si="40"/>
        <v>7</v>
      </c>
      <c r="C885" s="105">
        <f t="shared" si="38"/>
        <v>42567</v>
      </c>
      <c r="D885" s="110" t="s">
        <v>1071</v>
      </c>
      <c r="E885" s="474">
        <v>42567</v>
      </c>
      <c r="F885" s="161" t="s">
        <v>500</v>
      </c>
      <c r="G885" s="475" t="s">
        <v>700</v>
      </c>
      <c r="H885" s="112" t="s">
        <v>1072</v>
      </c>
      <c r="I885" s="133">
        <v>300</v>
      </c>
      <c r="J885" s="133">
        <v>9397.5292812515981</v>
      </c>
      <c r="K885" s="13">
        <f t="shared" si="44"/>
        <v>2819259</v>
      </c>
      <c r="L885" s="113" t="s">
        <v>161</v>
      </c>
      <c r="M885" s="113" t="s">
        <v>159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>x</v>
      </c>
      <c r="Z885" s="564"/>
    </row>
    <row r="886" spans="1:26" ht="15.75" customHeight="1">
      <c r="A886" s="120" t="str">
        <f>IF(B886&lt;&gt;"",IF(AND(B886&gt;=_TM1,B886&lt;=_TM2,OR(TH!L886="1111",TH!M886="1111")),TH!D886,""),"")</f>
        <v/>
      </c>
      <c r="B886" s="12">
        <f t="shared" si="40"/>
        <v>7</v>
      </c>
      <c r="C886" s="105">
        <f t="shared" si="38"/>
        <v>42567</v>
      </c>
      <c r="D886" s="110" t="s">
        <v>1071</v>
      </c>
      <c r="E886" s="474">
        <v>42567</v>
      </c>
      <c r="F886" s="161" t="s">
        <v>500</v>
      </c>
      <c r="G886" s="475" t="s">
        <v>700</v>
      </c>
      <c r="H886" s="112" t="s">
        <v>1072</v>
      </c>
      <c r="I886" s="133">
        <v>500</v>
      </c>
      <c r="J886" s="133">
        <v>9397.5292812515981</v>
      </c>
      <c r="K886" s="13">
        <f t="shared" si="44"/>
        <v>4698765</v>
      </c>
      <c r="L886" s="113" t="s">
        <v>161</v>
      </c>
      <c r="M886" s="113" t="s">
        <v>159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>x</v>
      </c>
      <c r="Z886" s="564"/>
    </row>
    <row r="887" spans="1:26" ht="15.75" customHeight="1">
      <c r="A887" s="120" t="str">
        <f>IF(B887&lt;&gt;"",IF(AND(B887&gt;=_TM1,B887&lt;=_TM2,OR(TH!L887="1111",TH!M887="1111")),TH!D887,""),"")</f>
        <v/>
      </c>
      <c r="B887" s="12">
        <f t="shared" si="40"/>
        <v>7</v>
      </c>
      <c r="C887" s="105">
        <f t="shared" si="38"/>
        <v>42567</v>
      </c>
      <c r="D887" s="110" t="s">
        <v>1071</v>
      </c>
      <c r="E887" s="474">
        <v>42567</v>
      </c>
      <c r="F887" s="161" t="s">
        <v>375</v>
      </c>
      <c r="G887" s="475" t="s">
        <v>700</v>
      </c>
      <c r="H887" s="112" t="s">
        <v>1072</v>
      </c>
      <c r="I887" s="133">
        <v>1600</v>
      </c>
      <c r="J887" s="133">
        <v>741.91020641459988</v>
      </c>
      <c r="K887" s="13">
        <f t="shared" si="44"/>
        <v>1187056</v>
      </c>
      <c r="L887" s="113" t="s">
        <v>161</v>
      </c>
      <c r="M887" s="113" t="s">
        <v>159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>x</v>
      </c>
      <c r="Z887" s="564"/>
    </row>
    <row r="888" spans="1:26" ht="15.75" customHeight="1">
      <c r="A888" s="120" t="str">
        <f>IF(B888&lt;&gt;"",IF(AND(B888&gt;=_TM1,B888&lt;=_TM2,OR(TH!L888="1111",TH!M888="1111")),TH!D888,""),"")</f>
        <v/>
      </c>
      <c r="B888" s="12">
        <f t="shared" si="40"/>
        <v>7</v>
      </c>
      <c r="C888" s="105">
        <f t="shared" si="38"/>
        <v>42567</v>
      </c>
      <c r="D888" s="110" t="s">
        <v>1071</v>
      </c>
      <c r="E888" s="474">
        <v>42567</v>
      </c>
      <c r="F888" s="161" t="s">
        <v>501</v>
      </c>
      <c r="G888" s="475" t="s">
        <v>701</v>
      </c>
      <c r="H888" s="112" t="s">
        <v>1072</v>
      </c>
      <c r="I888" s="134">
        <v>1005</v>
      </c>
      <c r="J888" s="134">
        <v>7666.4054662842</v>
      </c>
      <c r="K888" s="13">
        <f t="shared" si="44"/>
        <v>7704737</v>
      </c>
      <c r="L888" s="113" t="s">
        <v>161</v>
      </c>
      <c r="M888" s="113" t="s">
        <v>159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>x</v>
      </c>
      <c r="Z888" s="564"/>
    </row>
    <row r="889" spans="1:26" ht="15.75" customHeight="1">
      <c r="A889" s="120" t="str">
        <f>IF(B889&lt;&gt;"",IF(AND(B889&gt;=_TM1,B889&lt;=_TM2,OR(TH!L889="1111",TH!M889="1111")),TH!D889,""),"")</f>
        <v/>
      </c>
      <c r="B889" s="12">
        <f t="shared" si="40"/>
        <v>7</v>
      </c>
      <c r="C889" s="105">
        <f t="shared" si="38"/>
        <v>42569</v>
      </c>
      <c r="D889" s="110" t="s">
        <v>1071</v>
      </c>
      <c r="E889" s="474">
        <v>42569</v>
      </c>
      <c r="F889" s="161" t="s">
        <v>502</v>
      </c>
      <c r="G889" s="475" t="s">
        <v>702</v>
      </c>
      <c r="H889" s="112" t="s">
        <v>1072</v>
      </c>
      <c r="I889" s="133">
        <v>254</v>
      </c>
      <c r="J889" s="133">
        <v>10057.005020286799</v>
      </c>
      <c r="K889" s="13">
        <f t="shared" si="44"/>
        <v>2554479</v>
      </c>
      <c r="L889" s="113" t="s">
        <v>161</v>
      </c>
      <c r="M889" s="113" t="s">
        <v>159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>x</v>
      </c>
      <c r="Z889" s="564"/>
    </row>
    <row r="890" spans="1:26" ht="15.75" customHeight="1">
      <c r="A890" s="120" t="str">
        <f>IF(B890&lt;&gt;"",IF(AND(B890&gt;=_TM1,B890&lt;=_TM2,OR(TH!L890="1111",TH!M890="1111")),TH!D890,""),"")</f>
        <v/>
      </c>
      <c r="B890" s="12">
        <f t="shared" si="40"/>
        <v>7</v>
      </c>
      <c r="C890" s="105">
        <f t="shared" si="38"/>
        <v>42569</v>
      </c>
      <c r="D890" s="110" t="s">
        <v>1071</v>
      </c>
      <c r="E890" s="474">
        <v>42569</v>
      </c>
      <c r="F890" s="161" t="s">
        <v>503</v>
      </c>
      <c r="G890" s="475" t="s">
        <v>703</v>
      </c>
      <c r="H890" s="112" t="s">
        <v>1072</v>
      </c>
      <c r="I890" s="133">
        <v>75</v>
      </c>
      <c r="J890" s="133">
        <v>11128.653096218999</v>
      </c>
      <c r="K890" s="13">
        <f t="shared" si="44"/>
        <v>834649</v>
      </c>
      <c r="L890" s="113" t="s">
        <v>161</v>
      </c>
      <c r="M890" s="113" t="s">
        <v>159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>x</v>
      </c>
      <c r="Z890" s="564"/>
    </row>
    <row r="891" spans="1:26" ht="15.75" customHeight="1">
      <c r="A891" s="120" t="str">
        <f>IF(B891&lt;&gt;"",IF(AND(B891&gt;=_TM1,B891&lt;=_TM2,OR(TH!L891="1111",TH!M891="1111")),TH!D891,""),"")</f>
        <v/>
      </c>
      <c r="B891" s="12">
        <f t="shared" si="40"/>
        <v>7</v>
      </c>
      <c r="C891" s="105">
        <f t="shared" si="38"/>
        <v>42571</v>
      </c>
      <c r="D891" s="110" t="s">
        <v>1071</v>
      </c>
      <c r="E891" s="474">
        <v>42571</v>
      </c>
      <c r="F891" s="161" t="s">
        <v>506</v>
      </c>
      <c r="G891" s="475" t="s">
        <v>704</v>
      </c>
      <c r="H891" s="112" t="s">
        <v>1072</v>
      </c>
      <c r="I891" s="133">
        <v>500</v>
      </c>
      <c r="J891" s="133">
        <v>2637.9029561407997</v>
      </c>
      <c r="K891" s="13">
        <f t="shared" si="44"/>
        <v>1318951</v>
      </c>
      <c r="L891" s="113" t="s">
        <v>161</v>
      </c>
      <c r="M891" s="113" t="s">
        <v>159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>x</v>
      </c>
      <c r="Z891" s="564"/>
    </row>
    <row r="892" spans="1:26" ht="15.75" customHeight="1">
      <c r="A892" s="120" t="str">
        <f>IF(B892&lt;&gt;"",IF(AND(B892&gt;=_TM1,B892&lt;=_TM2,OR(TH!L892="1111",TH!M892="1111")),TH!D892,""),"")</f>
        <v/>
      </c>
      <c r="B892" s="12">
        <f t="shared" si="40"/>
        <v>7</v>
      </c>
      <c r="C892" s="105">
        <f t="shared" si="38"/>
        <v>42571</v>
      </c>
      <c r="D892" s="110" t="s">
        <v>1071</v>
      </c>
      <c r="E892" s="474">
        <v>42571</v>
      </c>
      <c r="F892" s="161" t="s">
        <v>507</v>
      </c>
      <c r="G892" s="475" t="s">
        <v>704</v>
      </c>
      <c r="H892" s="112" t="s">
        <v>1072</v>
      </c>
      <c r="I892" s="133">
        <v>300</v>
      </c>
      <c r="J892" s="133">
        <v>1648.6893475879999</v>
      </c>
      <c r="K892" s="13">
        <f t="shared" si="44"/>
        <v>494607</v>
      </c>
      <c r="L892" s="113" t="s">
        <v>161</v>
      </c>
      <c r="M892" s="113" t="s">
        <v>159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>x</v>
      </c>
      <c r="Z892" s="564"/>
    </row>
    <row r="893" spans="1:26" ht="15.75" customHeight="1">
      <c r="A893" s="120" t="str">
        <f>IF(B893&lt;&gt;"",IF(AND(B893&gt;=_TM1,B893&lt;=_TM2,OR(TH!L893="1111",TH!M893="1111")),TH!D893,""),"")</f>
        <v/>
      </c>
      <c r="B893" s="12">
        <f t="shared" si="40"/>
        <v>7</v>
      </c>
      <c r="C893" s="105">
        <f t="shared" si="38"/>
        <v>42571</v>
      </c>
      <c r="D893" s="110" t="s">
        <v>1071</v>
      </c>
      <c r="E893" s="474">
        <v>42571</v>
      </c>
      <c r="F893" s="161" t="s">
        <v>508</v>
      </c>
      <c r="G893" s="475" t="s">
        <v>705</v>
      </c>
      <c r="H893" s="112" t="s">
        <v>1072</v>
      </c>
      <c r="I893" s="134">
        <v>1559</v>
      </c>
      <c r="J893" s="134">
        <v>5687.9782491785991</v>
      </c>
      <c r="K893" s="13">
        <f t="shared" si="44"/>
        <v>8867558</v>
      </c>
      <c r="L893" s="113" t="s">
        <v>161</v>
      </c>
      <c r="M893" s="113" t="s">
        <v>159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>x</v>
      </c>
      <c r="Z893" s="564"/>
    </row>
    <row r="894" spans="1:26" ht="15.75" customHeight="1">
      <c r="A894" s="120" t="str">
        <f>IF(B894&lt;&gt;"",IF(AND(B894&gt;=_TM1,B894&lt;=_TM2,OR(TH!L894="1111",TH!M894="1111")),TH!D894,""),"")</f>
        <v/>
      </c>
      <c r="B894" s="12">
        <f t="shared" si="40"/>
        <v>7</v>
      </c>
      <c r="C894" s="105">
        <f t="shared" si="38"/>
        <v>42572</v>
      </c>
      <c r="D894" s="110" t="s">
        <v>1071</v>
      </c>
      <c r="E894" s="474">
        <v>42572</v>
      </c>
      <c r="F894" s="161" t="s">
        <v>510</v>
      </c>
      <c r="G894" s="475" t="s">
        <v>706</v>
      </c>
      <c r="H894" s="112" t="s">
        <v>1072</v>
      </c>
      <c r="I894" s="133">
        <v>102</v>
      </c>
      <c r="J894" s="133">
        <v>19619.403236297199</v>
      </c>
      <c r="K894" s="13">
        <f t="shared" si="44"/>
        <v>2001179</v>
      </c>
      <c r="L894" s="113" t="s">
        <v>161</v>
      </c>
      <c r="M894" s="113" t="s">
        <v>159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>x</v>
      </c>
      <c r="Z894" s="564"/>
    </row>
    <row r="895" spans="1:26" ht="15.75" customHeight="1">
      <c r="A895" s="120" t="str">
        <f>IF(B895&lt;&gt;"",IF(AND(B895&gt;=_TM1,B895&lt;=_TM2,OR(TH!L895="1111",TH!M895="1111")),TH!D895,""),"")</f>
        <v/>
      </c>
      <c r="B895" s="12">
        <f t="shared" si="40"/>
        <v>7</v>
      </c>
      <c r="C895" s="105">
        <f t="shared" si="38"/>
        <v>42572</v>
      </c>
      <c r="D895" s="110" t="s">
        <v>1071</v>
      </c>
      <c r="E895" s="474">
        <v>42572</v>
      </c>
      <c r="F895" s="161" t="s">
        <v>509</v>
      </c>
      <c r="G895" s="475" t="s">
        <v>706</v>
      </c>
      <c r="H895" s="112" t="s">
        <v>1072</v>
      </c>
      <c r="I895" s="133">
        <v>103</v>
      </c>
      <c r="J895" s="133">
        <v>11046.218628839601</v>
      </c>
      <c r="K895" s="13">
        <f t="shared" si="44"/>
        <v>1137761</v>
      </c>
      <c r="L895" s="113" t="s">
        <v>161</v>
      </c>
      <c r="M895" s="113" t="s">
        <v>159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>x</v>
      </c>
      <c r="Z895" s="564"/>
    </row>
    <row r="896" spans="1:26" ht="15.75" customHeight="1">
      <c r="A896" s="120" t="str">
        <f>IF(B896&lt;&gt;"",IF(AND(B896&gt;=_TM1,B896&lt;=_TM2,OR(TH!L896="1111",TH!M896="1111")),TH!D896,""),"")</f>
        <v/>
      </c>
      <c r="B896" s="12">
        <f t="shared" si="40"/>
        <v>7</v>
      </c>
      <c r="C896" s="105">
        <f t="shared" si="38"/>
        <v>42573</v>
      </c>
      <c r="D896" s="110" t="s">
        <v>1071</v>
      </c>
      <c r="E896" s="474">
        <v>42573</v>
      </c>
      <c r="F896" s="161" t="s">
        <v>644</v>
      </c>
      <c r="G896" s="475" t="s">
        <v>707</v>
      </c>
      <c r="H896" s="112" t="s">
        <v>1072</v>
      </c>
      <c r="I896" s="136">
        <v>250</v>
      </c>
      <c r="J896" s="136">
        <v>10221.873955045599</v>
      </c>
      <c r="K896" s="13">
        <f t="shared" si="44"/>
        <v>2555468</v>
      </c>
      <c r="L896" s="113" t="s">
        <v>161</v>
      </c>
      <c r="M896" s="113" t="s">
        <v>159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>x</v>
      </c>
      <c r="Z896" s="564"/>
    </row>
    <row r="897" spans="1:26" ht="15.75" customHeight="1">
      <c r="A897" s="120" t="str">
        <f>IF(B897&lt;&gt;"",IF(AND(B897&gt;=_TM1,B897&lt;=_TM2,OR(TH!L897="1111",TH!M897="1111")),TH!D897,""),"")</f>
        <v/>
      </c>
      <c r="B897" s="12">
        <f t="shared" si="40"/>
        <v>7</v>
      </c>
      <c r="C897" s="105">
        <f t="shared" si="38"/>
        <v>42573</v>
      </c>
      <c r="D897" s="110" t="s">
        <v>1071</v>
      </c>
      <c r="E897" s="474">
        <v>42573</v>
      </c>
      <c r="F897" s="161" t="s">
        <v>645</v>
      </c>
      <c r="G897" s="475" t="s">
        <v>707</v>
      </c>
      <c r="H897" s="112" t="s">
        <v>1072</v>
      </c>
      <c r="I897" s="133">
        <v>200</v>
      </c>
      <c r="J897" s="133">
        <v>12530.039041668799</v>
      </c>
      <c r="K897" s="13">
        <f t="shared" si="44"/>
        <v>2506008</v>
      </c>
      <c r="L897" s="113" t="s">
        <v>161</v>
      </c>
      <c r="M897" s="113" t="s">
        <v>159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>x</v>
      </c>
      <c r="Z897" s="564"/>
    </row>
    <row r="898" spans="1:26" ht="15.75" customHeight="1">
      <c r="A898" s="120" t="str">
        <f>IF(B898&lt;&gt;"",IF(AND(B898&gt;=_TM1,B898&lt;=_TM2,OR(TH!L898="1111",TH!M898="1111")),TH!D898,""),"")</f>
        <v/>
      </c>
      <c r="B898" s="12">
        <f t="shared" si="40"/>
        <v>7</v>
      </c>
      <c r="C898" s="105">
        <f t="shared" si="38"/>
        <v>42573</v>
      </c>
      <c r="D898" s="110" t="s">
        <v>1071</v>
      </c>
      <c r="E898" s="474">
        <v>42573</v>
      </c>
      <c r="F898" s="161" t="s">
        <v>646</v>
      </c>
      <c r="G898" s="475" t="s">
        <v>707</v>
      </c>
      <c r="H898" s="112" t="s">
        <v>1072</v>
      </c>
      <c r="I898" s="133">
        <v>300</v>
      </c>
      <c r="J898" s="133">
        <v>9974.5705529073985</v>
      </c>
      <c r="K898" s="13">
        <f t="shared" si="44"/>
        <v>2992371</v>
      </c>
      <c r="L898" s="113" t="s">
        <v>161</v>
      </c>
      <c r="M898" s="113" t="s">
        <v>159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>x</v>
      </c>
      <c r="Z898" s="564"/>
    </row>
    <row r="899" spans="1:26" ht="15.75" customHeight="1">
      <c r="A899" s="120" t="str">
        <f>IF(B899&lt;&gt;"",IF(AND(B899&gt;=_TM1,B899&lt;=_TM2,OR(TH!L899="1111",TH!M899="1111")),TH!D899,""),"")</f>
        <v/>
      </c>
      <c r="B899" s="12">
        <f t="shared" si="40"/>
        <v>7</v>
      </c>
      <c r="C899" s="105">
        <f t="shared" si="38"/>
        <v>42573</v>
      </c>
      <c r="D899" s="110" t="s">
        <v>1071</v>
      </c>
      <c r="E899" s="474">
        <v>42573</v>
      </c>
      <c r="F899" s="161" t="s">
        <v>647</v>
      </c>
      <c r="G899" s="475" t="s">
        <v>707</v>
      </c>
      <c r="H899" s="112" t="s">
        <v>1072</v>
      </c>
      <c r="I899" s="134">
        <v>300</v>
      </c>
      <c r="J899" s="134">
        <v>10963.7841614602</v>
      </c>
      <c r="K899" s="13">
        <f t="shared" si="44"/>
        <v>3289135</v>
      </c>
      <c r="L899" s="113" t="s">
        <v>161</v>
      </c>
      <c r="M899" s="113" t="s">
        <v>159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>x</v>
      </c>
      <c r="Z899" s="564"/>
    </row>
    <row r="900" spans="1:26" ht="15.75" customHeight="1">
      <c r="A900" s="120" t="str">
        <f>IF(B900&lt;&gt;"",IF(AND(B900&gt;=_TM1,B900&lt;=_TM2,OR(TH!L900="1111",TH!M900="1111")),TH!D900,""),"")</f>
        <v/>
      </c>
      <c r="B900" s="12">
        <f t="shared" si="40"/>
        <v>7</v>
      </c>
      <c r="C900" s="105">
        <f t="shared" si="38"/>
        <v>42573</v>
      </c>
      <c r="D900" s="110" t="s">
        <v>1071</v>
      </c>
      <c r="E900" s="474">
        <v>42573</v>
      </c>
      <c r="F900" s="161" t="s">
        <v>817</v>
      </c>
      <c r="G900" s="475" t="s">
        <v>707</v>
      </c>
      <c r="H900" s="112" t="s">
        <v>1072</v>
      </c>
      <c r="I900" s="134">
        <v>200</v>
      </c>
      <c r="J900" s="134">
        <v>17228.803682294598</v>
      </c>
      <c r="K900" s="13">
        <f t="shared" si="44"/>
        <v>3445761</v>
      </c>
      <c r="L900" s="113" t="s">
        <v>161</v>
      </c>
      <c r="M900" s="113" t="s">
        <v>159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>x</v>
      </c>
      <c r="Z900" s="564"/>
    </row>
    <row r="901" spans="1:26" ht="15.75" customHeight="1">
      <c r="A901" s="120" t="str">
        <f>IF(B901&lt;&gt;"",IF(AND(B901&gt;=_TM1,B901&lt;=_TM2,OR(TH!L901="1111",TH!M901="1111")),TH!D901,""),"")</f>
        <v/>
      </c>
      <c r="B901" s="12">
        <f t="shared" si="40"/>
        <v>7</v>
      </c>
      <c r="C901" s="105">
        <f t="shared" si="38"/>
        <v>42574</v>
      </c>
      <c r="D901" s="110" t="s">
        <v>1071</v>
      </c>
      <c r="E901" s="474">
        <v>42574</v>
      </c>
      <c r="F901" s="161" t="s">
        <v>653</v>
      </c>
      <c r="G901" s="475" t="s">
        <v>708</v>
      </c>
      <c r="H901" s="112" t="s">
        <v>1072</v>
      </c>
      <c r="I901" s="133">
        <v>530</v>
      </c>
      <c r="J901" s="133">
        <v>12777.342443807</v>
      </c>
      <c r="K901" s="13">
        <f t="shared" si="44"/>
        <v>6771991</v>
      </c>
      <c r="L901" s="113" t="s">
        <v>161</v>
      </c>
      <c r="M901" s="113" t="s">
        <v>159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>x</v>
      </c>
      <c r="Z901" s="564"/>
    </row>
    <row r="902" spans="1:26" ht="15.75" customHeight="1">
      <c r="A902" s="120" t="str">
        <f>IF(B902&lt;&gt;"",IF(AND(B902&gt;=_TM1,B902&lt;=_TM2,OR(TH!L902="1111",TH!M902="1111")),TH!D902,""),"")</f>
        <v/>
      </c>
      <c r="B902" s="12">
        <f t="shared" si="40"/>
        <v>7</v>
      </c>
      <c r="C902" s="105">
        <f t="shared" si="38"/>
        <v>42574</v>
      </c>
      <c r="D902" s="110" t="s">
        <v>1071</v>
      </c>
      <c r="E902" s="474">
        <v>42574</v>
      </c>
      <c r="F902" s="161" t="s">
        <v>498</v>
      </c>
      <c r="G902" s="475" t="s">
        <v>708</v>
      </c>
      <c r="H902" s="112" t="s">
        <v>1072</v>
      </c>
      <c r="I902" s="133">
        <v>33</v>
      </c>
      <c r="J902" s="133">
        <v>10551.611824563199</v>
      </c>
      <c r="K902" s="13">
        <f t="shared" si="44"/>
        <v>348203</v>
      </c>
      <c r="L902" s="113" t="s">
        <v>161</v>
      </c>
      <c r="M902" s="113" t="s">
        <v>159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>x</v>
      </c>
      <c r="Z902" s="564"/>
    </row>
    <row r="903" spans="1:26" ht="15.75" customHeight="1">
      <c r="A903" s="120" t="str">
        <f>IF(B903&lt;&gt;"",IF(AND(B903&gt;=_TM1,B903&lt;=_TM2,OR(TH!L903="1111",TH!M903="1111")),TH!D903,""),"")</f>
        <v/>
      </c>
      <c r="B903" s="12">
        <f t="shared" si="40"/>
        <v>7</v>
      </c>
      <c r="C903" s="105">
        <f t="shared" si="38"/>
        <v>42574</v>
      </c>
      <c r="D903" s="110" t="s">
        <v>1071</v>
      </c>
      <c r="E903" s="474">
        <v>42574</v>
      </c>
      <c r="F903" s="161" t="s">
        <v>654</v>
      </c>
      <c r="G903" s="475" t="s">
        <v>708</v>
      </c>
      <c r="H903" s="112" t="s">
        <v>1072</v>
      </c>
      <c r="I903" s="133">
        <v>630</v>
      </c>
      <c r="J903" s="133">
        <v>11128.653096218999</v>
      </c>
      <c r="K903" s="13">
        <f t="shared" si="44"/>
        <v>7011051</v>
      </c>
      <c r="L903" s="113" t="s">
        <v>161</v>
      </c>
      <c r="M903" s="113" t="s">
        <v>159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>x</v>
      </c>
      <c r="Z903" s="564"/>
    </row>
    <row r="904" spans="1:26" ht="15.75" customHeight="1">
      <c r="A904" s="120" t="str">
        <f>IF(B904&lt;&gt;"",IF(AND(B904&gt;=_TM1,B904&lt;=_TM2,OR(TH!L904="1111",TH!M904="1111")),TH!D904,""),"")</f>
        <v/>
      </c>
      <c r="B904" s="12">
        <f t="shared" si="40"/>
        <v>7</v>
      </c>
      <c r="C904" s="105">
        <f t="shared" si="38"/>
        <v>42574</v>
      </c>
      <c r="D904" s="110" t="s">
        <v>1071</v>
      </c>
      <c r="E904" s="474">
        <v>42574</v>
      </c>
      <c r="F904" s="161" t="s">
        <v>660</v>
      </c>
      <c r="G904" s="475" t="s">
        <v>708</v>
      </c>
      <c r="H904" s="112" t="s">
        <v>1072</v>
      </c>
      <c r="I904" s="136">
        <v>352</v>
      </c>
      <c r="J904" s="136">
        <v>9397.5292812515981</v>
      </c>
      <c r="K904" s="13">
        <f t="shared" si="44"/>
        <v>3307930</v>
      </c>
      <c r="L904" s="113" t="s">
        <v>161</v>
      </c>
      <c r="M904" s="113" t="s">
        <v>159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>x</v>
      </c>
      <c r="Z904" s="564"/>
    </row>
    <row r="905" spans="1:26" ht="15.75" customHeight="1">
      <c r="A905" s="120" t="str">
        <f>IF(B905&lt;&gt;"",IF(AND(B905&gt;=_TM1,B905&lt;=_TM2,OR(TH!L905="1111",TH!M905="1111")),TH!D905,""),"")</f>
        <v/>
      </c>
      <c r="B905" s="12">
        <f t="shared" si="40"/>
        <v>7</v>
      </c>
      <c r="C905" s="105">
        <f t="shared" si="38"/>
        <v>42574</v>
      </c>
      <c r="D905" s="110" t="s">
        <v>1071</v>
      </c>
      <c r="E905" s="474">
        <v>42574</v>
      </c>
      <c r="F905" s="161" t="s">
        <v>511</v>
      </c>
      <c r="G905" s="475" t="s">
        <v>709</v>
      </c>
      <c r="H905" s="112" t="s">
        <v>1072</v>
      </c>
      <c r="I905" s="133">
        <v>350</v>
      </c>
      <c r="J905" s="133">
        <v>9067.7914117340006</v>
      </c>
      <c r="K905" s="13">
        <f t="shared" si="44"/>
        <v>3173727</v>
      </c>
      <c r="L905" s="113" t="s">
        <v>161</v>
      </c>
      <c r="M905" s="113" t="s">
        <v>159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>x</v>
      </c>
      <c r="Z905" s="564"/>
    </row>
    <row r="906" spans="1:26" ht="15.75" customHeight="1">
      <c r="A906" s="120" t="str">
        <f>IF(B906&lt;&gt;"",IF(AND(B906&gt;=_TM1,B906&lt;=_TM2,OR(TH!L906="1111",TH!M906="1111")),TH!D906,""),"")</f>
        <v/>
      </c>
      <c r="B906" s="12">
        <f t="shared" si="40"/>
        <v>7</v>
      </c>
      <c r="C906" s="105">
        <f t="shared" si="38"/>
        <v>42577</v>
      </c>
      <c r="D906" s="110" t="s">
        <v>1071</v>
      </c>
      <c r="E906" s="474">
        <v>42577</v>
      </c>
      <c r="F906" s="161" t="s">
        <v>512</v>
      </c>
      <c r="G906" s="475" t="s">
        <v>710</v>
      </c>
      <c r="H906" s="112" t="s">
        <v>1072</v>
      </c>
      <c r="I906" s="133">
        <v>473</v>
      </c>
      <c r="J906" s="133">
        <v>6677.1918577314</v>
      </c>
      <c r="K906" s="13">
        <f t="shared" si="44"/>
        <v>3158312</v>
      </c>
      <c r="L906" s="113" t="s">
        <v>161</v>
      </c>
      <c r="M906" s="113" t="s">
        <v>159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>x</v>
      </c>
      <c r="Z906" s="564"/>
    </row>
    <row r="907" spans="1:26" ht="15.75" customHeight="1">
      <c r="A907" s="120" t="str">
        <f>IF(B907&lt;&gt;"",IF(AND(B907&gt;=_TM1,B907&lt;=_TM2,OR(TH!L907="1111",TH!M907="1111")),TH!D907,""),"")</f>
        <v/>
      </c>
      <c r="B907" s="12">
        <f t="shared" si="40"/>
        <v>7</v>
      </c>
      <c r="C907" s="105">
        <f t="shared" si="38"/>
        <v>42580</v>
      </c>
      <c r="D907" s="110" t="s">
        <v>1071</v>
      </c>
      <c r="E907" s="474">
        <v>42580</v>
      </c>
      <c r="F907" s="161" t="s">
        <v>513</v>
      </c>
      <c r="G907" s="475" t="s">
        <v>711</v>
      </c>
      <c r="H907" s="112" t="s">
        <v>1072</v>
      </c>
      <c r="I907" s="133">
        <v>302</v>
      </c>
      <c r="J907" s="133">
        <v>7831.2744010429988</v>
      </c>
      <c r="K907" s="13">
        <f t="shared" si="44"/>
        <v>2365045</v>
      </c>
      <c r="L907" s="113" t="s">
        <v>161</v>
      </c>
      <c r="M907" s="113" t="s">
        <v>159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>x</v>
      </c>
      <c r="Z907" s="564"/>
    </row>
    <row r="908" spans="1:26" ht="15.75" customHeight="1">
      <c r="A908" s="120" t="str">
        <f>IF(B908&lt;&gt;"",IF(AND(B908&gt;=_TM1,B908&lt;=_TM2,OR(TH!L908="1111",TH!M908="1111")),TH!D908,""),"")</f>
        <v/>
      </c>
      <c r="B908" s="12">
        <f t="shared" si="40"/>
        <v>7</v>
      </c>
      <c r="C908" s="105">
        <f t="shared" si="38"/>
        <v>42580</v>
      </c>
      <c r="D908" s="110" t="s">
        <v>1071</v>
      </c>
      <c r="E908" s="474">
        <v>42580</v>
      </c>
      <c r="F908" s="161" t="s">
        <v>514</v>
      </c>
      <c r="G908" s="475" t="s">
        <v>711</v>
      </c>
      <c r="H908" s="112" t="s">
        <v>1072</v>
      </c>
      <c r="I908" s="133">
        <v>527</v>
      </c>
      <c r="J908" s="133">
        <v>7996.1433358017994</v>
      </c>
      <c r="K908" s="13">
        <f t="shared" si="44"/>
        <v>4213968</v>
      </c>
      <c r="L908" s="113" t="s">
        <v>161</v>
      </c>
      <c r="M908" s="113" t="s">
        <v>159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>x</v>
      </c>
      <c r="Z908" s="564"/>
    </row>
    <row r="909" spans="1:26" ht="15.75" customHeight="1">
      <c r="A909" s="120" t="str">
        <f>IF(B909&lt;&gt;"",IF(AND(B909&gt;=_TM1,B909&lt;=_TM2,OR(TH!L909="1111",TH!M909="1111")),TH!D909,""),"")</f>
        <v/>
      </c>
      <c r="B909" s="12">
        <f t="shared" si="40"/>
        <v>7</v>
      </c>
      <c r="C909" s="105">
        <f t="shared" si="38"/>
        <v>42580</v>
      </c>
      <c r="D909" s="110" t="s">
        <v>1071</v>
      </c>
      <c r="E909" s="474">
        <v>42580</v>
      </c>
      <c r="F909" s="161" t="s">
        <v>647</v>
      </c>
      <c r="G909" s="475" t="s">
        <v>712</v>
      </c>
      <c r="H909" s="112" t="s">
        <v>1072</v>
      </c>
      <c r="I909" s="133">
        <v>100</v>
      </c>
      <c r="J909" s="133">
        <v>10963.7841614602</v>
      </c>
      <c r="K909" s="13">
        <f t="shared" si="44"/>
        <v>1096378</v>
      </c>
      <c r="L909" s="113" t="s">
        <v>161</v>
      </c>
      <c r="M909" s="113" t="s">
        <v>159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>x</v>
      </c>
      <c r="Z909" s="564"/>
    </row>
    <row r="910" spans="1:26" ht="15.75" customHeight="1">
      <c r="A910" s="120" t="str">
        <f>IF(B910&lt;&gt;"",IF(AND(B910&gt;=_TM1,B910&lt;=_TM2,OR(TH!L910="1111",TH!M910="1111")),TH!D910,""),"")</f>
        <v/>
      </c>
      <c r="B910" s="12">
        <f t="shared" si="40"/>
        <v>7</v>
      </c>
      <c r="C910" s="105">
        <f t="shared" si="38"/>
        <v>42580</v>
      </c>
      <c r="D910" s="110" t="s">
        <v>1071</v>
      </c>
      <c r="E910" s="474">
        <v>42580</v>
      </c>
      <c r="F910" s="161" t="s">
        <v>817</v>
      </c>
      <c r="G910" s="475" t="s">
        <v>712</v>
      </c>
      <c r="H910" s="112" t="s">
        <v>1072</v>
      </c>
      <c r="I910" s="133">
        <v>100</v>
      </c>
      <c r="J910" s="133">
        <v>17228.803682294598</v>
      </c>
      <c r="K910" s="13">
        <f t="shared" si="44"/>
        <v>1722880</v>
      </c>
      <c r="L910" s="113" t="s">
        <v>161</v>
      </c>
      <c r="M910" s="113" t="s">
        <v>159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>x</v>
      </c>
      <c r="Z910" s="564"/>
    </row>
    <row r="911" spans="1:26" ht="15.75" customHeight="1">
      <c r="A911" s="120" t="str">
        <f>IF(B911&lt;&gt;"",IF(AND(B911&gt;=_TM1,B911&lt;=_TM2,OR(TH!L911="1111",TH!M911="1111")),TH!D911,""),"")</f>
        <v/>
      </c>
      <c r="B911" s="12">
        <f t="shared" si="40"/>
        <v>8</v>
      </c>
      <c r="C911" s="105">
        <f t="shared" si="38"/>
        <v>42583</v>
      </c>
      <c r="D911" s="110" t="s">
        <v>1071</v>
      </c>
      <c r="E911" s="474">
        <v>42583</v>
      </c>
      <c r="F911" s="161" t="s">
        <v>508</v>
      </c>
      <c r="G911" s="475" t="s">
        <v>713</v>
      </c>
      <c r="H911" s="112" t="s">
        <v>1072</v>
      </c>
      <c r="I911" s="133">
        <v>500</v>
      </c>
      <c r="J911" s="133">
        <v>5687.9782491785991</v>
      </c>
      <c r="K911" s="13">
        <f t="shared" si="44"/>
        <v>2843989</v>
      </c>
      <c r="L911" s="113" t="s">
        <v>161</v>
      </c>
      <c r="M911" s="113" t="s">
        <v>159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>x</v>
      </c>
      <c r="Z911" s="564"/>
    </row>
    <row r="912" spans="1:26" ht="15.75" customHeight="1">
      <c r="A912" s="120" t="str">
        <f>IF(B912&lt;&gt;"",IF(AND(B912&gt;=_TM1,B912&lt;=_TM2,OR(TH!L912="1111",TH!M912="1111")),TH!D912,""),"")</f>
        <v/>
      </c>
      <c r="B912" s="12">
        <f t="shared" si="40"/>
        <v>8</v>
      </c>
      <c r="C912" s="105">
        <f t="shared" si="38"/>
        <v>42584</v>
      </c>
      <c r="D912" s="110" t="s">
        <v>1071</v>
      </c>
      <c r="E912" s="474">
        <v>42584</v>
      </c>
      <c r="F912" s="161" t="s">
        <v>515</v>
      </c>
      <c r="G912" s="475" t="s">
        <v>714</v>
      </c>
      <c r="H912" s="112" t="s">
        <v>1072</v>
      </c>
      <c r="I912" s="133">
        <v>606</v>
      </c>
      <c r="J912" s="133">
        <v>5852.8471839373997</v>
      </c>
      <c r="K912" s="13">
        <f t="shared" si="44"/>
        <v>3546825</v>
      </c>
      <c r="L912" s="113" t="s">
        <v>161</v>
      </c>
      <c r="M912" s="113" t="s">
        <v>159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>x</v>
      </c>
      <c r="Z912" s="564"/>
    </row>
    <row r="913" spans="1:26" ht="15.75" customHeight="1">
      <c r="A913" s="120" t="str">
        <f>IF(B913&lt;&gt;"",IF(AND(B913&gt;=_TM1,B913&lt;=_TM2,OR(TH!L913="1111",TH!M913="1111")),TH!D913,""),"")</f>
        <v/>
      </c>
      <c r="B913" s="12">
        <f t="shared" si="40"/>
        <v>8</v>
      </c>
      <c r="C913" s="105">
        <f t="shared" si="38"/>
        <v>42584</v>
      </c>
      <c r="D913" s="110" t="s">
        <v>1071</v>
      </c>
      <c r="E913" s="474">
        <v>42584</v>
      </c>
      <c r="F913" s="161" t="s">
        <v>516</v>
      </c>
      <c r="G913" s="475" t="s">
        <v>714</v>
      </c>
      <c r="H913" s="112" t="s">
        <v>1072</v>
      </c>
      <c r="I913" s="133">
        <v>404</v>
      </c>
      <c r="J913" s="133">
        <v>8985.3569443546003</v>
      </c>
      <c r="K913" s="13">
        <f t="shared" si="44"/>
        <v>3630084</v>
      </c>
      <c r="L913" s="113" t="s">
        <v>161</v>
      </c>
      <c r="M913" s="113" t="s">
        <v>159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>x</v>
      </c>
      <c r="Z913" s="564"/>
    </row>
    <row r="914" spans="1:26" ht="15.75" customHeight="1">
      <c r="A914" s="120" t="str">
        <f>IF(B914&lt;&gt;"",IF(AND(B914&gt;=_TM1,B914&lt;=_TM2,OR(TH!L914="1111",TH!M914="1111")),TH!D914,""),"")</f>
        <v/>
      </c>
      <c r="B914" s="12">
        <f t="shared" si="40"/>
        <v>8</v>
      </c>
      <c r="C914" s="105">
        <f t="shared" si="38"/>
        <v>42584</v>
      </c>
      <c r="D914" s="110" t="s">
        <v>1071</v>
      </c>
      <c r="E914" s="474">
        <v>42584</v>
      </c>
      <c r="F914" s="161" t="s">
        <v>517</v>
      </c>
      <c r="G914" s="475" t="s">
        <v>714</v>
      </c>
      <c r="H914" s="112" t="s">
        <v>1072</v>
      </c>
      <c r="I914" s="133">
        <v>304</v>
      </c>
      <c r="J914" s="133">
        <v>10881.3496940808</v>
      </c>
      <c r="K914" s="13">
        <f t="shared" si="44"/>
        <v>3307930</v>
      </c>
      <c r="L914" s="113" t="s">
        <v>161</v>
      </c>
      <c r="M914" s="113" t="s">
        <v>159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>x</v>
      </c>
      <c r="Z914" s="564"/>
    </row>
    <row r="915" spans="1:26" ht="15.75" customHeight="1">
      <c r="A915" s="120" t="str">
        <f>IF(B915&lt;&gt;"",IF(AND(B915&gt;=_TM1,B915&lt;=_TM2,OR(TH!L915="1111",TH!M915="1111")),TH!D915,""),"")</f>
        <v/>
      </c>
      <c r="B915" s="12">
        <f t="shared" si="40"/>
        <v>8</v>
      </c>
      <c r="C915" s="105">
        <f t="shared" si="38"/>
        <v>42584</v>
      </c>
      <c r="D915" s="110" t="s">
        <v>1071</v>
      </c>
      <c r="E915" s="474">
        <v>42584</v>
      </c>
      <c r="F915" s="161" t="s">
        <v>518</v>
      </c>
      <c r="G915" s="475" t="s">
        <v>715</v>
      </c>
      <c r="H915" s="112" t="s">
        <v>1072</v>
      </c>
      <c r="I915" s="133">
        <v>1335</v>
      </c>
      <c r="J915" s="133">
        <v>6759.6263251107994</v>
      </c>
      <c r="K915" s="13">
        <f t="shared" si="44"/>
        <v>9024101</v>
      </c>
      <c r="L915" s="113" t="s">
        <v>161</v>
      </c>
      <c r="M915" s="113" t="s">
        <v>159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>x</v>
      </c>
      <c r="Z915" s="564"/>
    </row>
    <row r="916" spans="1:26" ht="15.75" customHeight="1">
      <c r="A916" s="120" t="str">
        <f>IF(B916&lt;&gt;"",IF(AND(B916&gt;=_TM1,B916&lt;=_TM2,OR(TH!L916="1111",TH!M916="1111")),TH!D916,""),"")</f>
        <v/>
      </c>
      <c r="B916" s="12">
        <f t="shared" si="40"/>
        <v>8</v>
      </c>
      <c r="C916" s="105">
        <f t="shared" si="38"/>
        <v>42584</v>
      </c>
      <c r="D916" s="110" t="s">
        <v>1071</v>
      </c>
      <c r="E916" s="474">
        <v>42584</v>
      </c>
      <c r="F916" s="161" t="s">
        <v>519</v>
      </c>
      <c r="G916" s="475" t="s">
        <v>715</v>
      </c>
      <c r="H916" s="112" t="s">
        <v>1072</v>
      </c>
      <c r="I916" s="133">
        <v>302</v>
      </c>
      <c r="J916" s="133">
        <v>6100.1505860755997</v>
      </c>
      <c r="K916" s="13">
        <f t="shared" si="44"/>
        <v>1842245</v>
      </c>
      <c r="L916" s="113" t="s">
        <v>161</v>
      </c>
      <c r="M916" s="113" t="s">
        <v>159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>x</v>
      </c>
      <c r="Z916" s="564"/>
    </row>
    <row r="917" spans="1:26" ht="15.75" customHeight="1">
      <c r="A917" s="120" t="str">
        <f>IF(B917&lt;&gt;"",IF(AND(B917&gt;=_TM1,B917&lt;=_TM2,OR(TH!L917="1111",TH!M917="1111")),TH!D917,""),"")</f>
        <v/>
      </c>
      <c r="B917" s="12">
        <f t="shared" si="40"/>
        <v>8</v>
      </c>
      <c r="C917" s="105">
        <f t="shared" ref="C917:C925" si="45">E917</f>
        <v>42584</v>
      </c>
      <c r="D917" s="110" t="s">
        <v>1071</v>
      </c>
      <c r="E917" s="474">
        <v>42584</v>
      </c>
      <c r="F917" s="161" t="s">
        <v>520</v>
      </c>
      <c r="G917" s="475" t="s">
        <v>715</v>
      </c>
      <c r="H917" s="112" t="s">
        <v>1072</v>
      </c>
      <c r="I917" s="133">
        <v>420</v>
      </c>
      <c r="J917" s="133">
        <v>13024.645845945199</v>
      </c>
      <c r="K917" s="13">
        <f t="shared" si="44"/>
        <v>5470351</v>
      </c>
      <c r="L917" s="113" t="s">
        <v>161</v>
      </c>
      <c r="M917" s="113" t="s">
        <v>159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>x</v>
      </c>
      <c r="Z917" s="564"/>
    </row>
    <row r="918" spans="1:26" ht="15.75" customHeight="1">
      <c r="A918" s="120" t="str">
        <f>IF(B918&lt;&gt;"",IF(AND(B918&gt;=_TM1,B918&lt;=_TM2,OR(TH!L918="1111",TH!M918="1111")),TH!D918,""),"")</f>
        <v/>
      </c>
      <c r="B918" s="12">
        <f t="shared" si="40"/>
        <v>8</v>
      </c>
      <c r="C918" s="105">
        <f t="shared" si="45"/>
        <v>42585</v>
      </c>
      <c r="D918" s="110" t="s">
        <v>1071</v>
      </c>
      <c r="E918" s="474">
        <v>42585</v>
      </c>
      <c r="F918" s="161" t="s">
        <v>521</v>
      </c>
      <c r="G918" s="475" t="s">
        <v>716</v>
      </c>
      <c r="H918" s="112" t="s">
        <v>1072</v>
      </c>
      <c r="I918" s="133">
        <v>427</v>
      </c>
      <c r="J918" s="133">
        <v>7913.7088684223991</v>
      </c>
      <c r="K918" s="13">
        <f t="shared" si="44"/>
        <v>3379154</v>
      </c>
      <c r="L918" s="113" t="s">
        <v>161</v>
      </c>
      <c r="M918" s="113" t="s">
        <v>159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>x</v>
      </c>
      <c r="Z918" s="564"/>
    </row>
    <row r="919" spans="1:26" ht="15.75" customHeight="1">
      <c r="A919" s="120" t="str">
        <f>IF(B919&lt;&gt;"",IF(AND(B919&gt;=_TM1,B919&lt;=_TM2,OR(TH!L919="1111",TH!M919="1111")),TH!D919,""),"")</f>
        <v/>
      </c>
      <c r="B919" s="12">
        <f t="shared" si="40"/>
        <v>8</v>
      </c>
      <c r="C919" s="105">
        <f t="shared" si="45"/>
        <v>42588</v>
      </c>
      <c r="D919" s="110" t="s">
        <v>1071</v>
      </c>
      <c r="E919" s="474">
        <v>42588</v>
      </c>
      <c r="F919" s="161" t="s">
        <v>536</v>
      </c>
      <c r="G919" s="475" t="s">
        <v>717</v>
      </c>
      <c r="H919" s="112" t="s">
        <v>1072</v>
      </c>
      <c r="I919" s="133">
        <v>108</v>
      </c>
      <c r="J919" s="133">
        <v>6429.8884555932</v>
      </c>
      <c r="K919" s="13">
        <f t="shared" si="44"/>
        <v>694428</v>
      </c>
      <c r="L919" s="113" t="s">
        <v>161</v>
      </c>
      <c r="M919" s="113" t="s">
        <v>159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>x</v>
      </c>
      <c r="Z919" s="564"/>
    </row>
    <row r="920" spans="1:26" ht="15.75" customHeight="1">
      <c r="A920" s="120" t="str">
        <f>IF(B920&lt;&gt;"",IF(AND(B920&gt;=_TM1,B920&lt;=_TM2,OR(TH!L920="1111",TH!M920="1111")),TH!D920,""),"")</f>
        <v/>
      </c>
      <c r="B920" s="12">
        <f t="shared" si="40"/>
        <v>8</v>
      </c>
      <c r="C920" s="105">
        <f t="shared" si="45"/>
        <v>42588</v>
      </c>
      <c r="D920" s="110" t="s">
        <v>1071</v>
      </c>
      <c r="E920" s="474">
        <v>42588</v>
      </c>
      <c r="F920" s="161" t="s">
        <v>662</v>
      </c>
      <c r="G920" s="475" t="s">
        <v>717</v>
      </c>
      <c r="H920" s="112" t="s">
        <v>1072</v>
      </c>
      <c r="I920" s="133">
        <v>103</v>
      </c>
      <c r="J920" s="133">
        <v>7748.8399336635994</v>
      </c>
      <c r="K920" s="13">
        <f t="shared" si="44"/>
        <v>798131</v>
      </c>
      <c r="L920" s="113" t="s">
        <v>161</v>
      </c>
      <c r="M920" s="113" t="s">
        <v>159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>x</v>
      </c>
      <c r="Z920" s="564"/>
    </row>
    <row r="921" spans="1:26" ht="15.75" customHeight="1">
      <c r="A921" s="120" t="str">
        <f>IF(B921&lt;&gt;"",IF(AND(B921&gt;=_TM1,B921&lt;=_TM2,OR(TH!L921="1111",TH!M921="1111")),TH!D921,""),"")</f>
        <v/>
      </c>
      <c r="B921" s="12">
        <f t="shared" si="40"/>
        <v>8</v>
      </c>
      <c r="C921" s="105">
        <f t="shared" si="45"/>
        <v>42591</v>
      </c>
      <c r="D921" s="110" t="s">
        <v>1071</v>
      </c>
      <c r="E921" s="474">
        <v>42591</v>
      </c>
      <c r="F921" s="161" t="s">
        <v>522</v>
      </c>
      <c r="G921" s="475" t="s">
        <v>718</v>
      </c>
      <c r="H921" s="112" t="s">
        <v>1072</v>
      </c>
      <c r="I921" s="133">
        <v>490</v>
      </c>
      <c r="J921" s="133">
        <v>6017.7161186961994</v>
      </c>
      <c r="K921" s="13">
        <f t="shared" si="44"/>
        <v>2948681</v>
      </c>
      <c r="L921" s="113" t="s">
        <v>161</v>
      </c>
      <c r="M921" s="113" t="s">
        <v>159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>x</v>
      </c>
      <c r="Z921" s="564"/>
    </row>
    <row r="922" spans="1:26" ht="15.75" customHeight="1">
      <c r="A922" s="120" t="str">
        <f>IF(B922&lt;&gt;"",IF(AND(B922&gt;=_TM1,B922&lt;=_TM2,OR(TH!L922="1111",TH!M922="1111")),TH!D922,""),"")</f>
        <v/>
      </c>
      <c r="B922" s="12">
        <f t="shared" si="40"/>
        <v>8</v>
      </c>
      <c r="C922" s="105">
        <f t="shared" si="45"/>
        <v>42592</v>
      </c>
      <c r="D922" s="110" t="s">
        <v>1071</v>
      </c>
      <c r="E922" s="474">
        <v>42592</v>
      </c>
      <c r="F922" s="161" t="s">
        <v>524</v>
      </c>
      <c r="G922" s="475" t="s">
        <v>719</v>
      </c>
      <c r="H922" s="112" t="s">
        <v>1072</v>
      </c>
      <c r="I922" s="133">
        <v>403</v>
      </c>
      <c r="J922" s="133">
        <v>15497.679867327199</v>
      </c>
      <c r="K922" s="13">
        <f t="shared" si="44"/>
        <v>6245565</v>
      </c>
      <c r="L922" s="113" t="s">
        <v>161</v>
      </c>
      <c r="M922" s="113" t="s">
        <v>159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>x</v>
      </c>
      <c r="Z922" s="564"/>
    </row>
    <row r="923" spans="1:26" ht="15.75" customHeight="1">
      <c r="A923" s="120" t="str">
        <f>IF(B923&lt;&gt;"",IF(AND(B923&gt;=_TM1,B923&lt;=_TM2,OR(TH!L923="1111",TH!M923="1111")),TH!D923,""),"")</f>
        <v/>
      </c>
      <c r="B923" s="12">
        <f t="shared" si="40"/>
        <v>8</v>
      </c>
      <c r="C923" s="105">
        <f t="shared" si="45"/>
        <v>42592</v>
      </c>
      <c r="D923" s="110" t="s">
        <v>1071</v>
      </c>
      <c r="E923" s="474">
        <v>42592</v>
      </c>
      <c r="F923" s="161" t="s">
        <v>645</v>
      </c>
      <c r="G923" s="475" t="s">
        <v>720</v>
      </c>
      <c r="H923" s="112" t="s">
        <v>1072</v>
      </c>
      <c r="I923" s="133">
        <v>30</v>
      </c>
      <c r="J923" s="133">
        <v>12530.039041668799</v>
      </c>
      <c r="K923" s="13">
        <f t="shared" si="44"/>
        <v>375901</v>
      </c>
      <c r="L923" s="113" t="s">
        <v>161</v>
      </c>
      <c r="M923" s="113" t="s">
        <v>159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>x</v>
      </c>
      <c r="Z923" s="564"/>
    </row>
    <row r="924" spans="1:26" ht="15.75" customHeight="1">
      <c r="A924" s="120" t="str">
        <f>IF(B924&lt;&gt;"",IF(AND(B924&gt;=_TM1,B924&lt;=_TM2,OR(TH!L924="1111",TH!M924="1111")),TH!D924,""),"")</f>
        <v/>
      </c>
      <c r="B924" s="12">
        <f t="shared" si="40"/>
        <v>8</v>
      </c>
      <c r="C924" s="105">
        <f t="shared" si="45"/>
        <v>42592</v>
      </c>
      <c r="D924" s="110" t="s">
        <v>1071</v>
      </c>
      <c r="E924" s="474">
        <v>42592</v>
      </c>
      <c r="F924" s="161" t="s">
        <v>648</v>
      </c>
      <c r="G924" s="475" t="s">
        <v>720</v>
      </c>
      <c r="H924" s="112" t="s">
        <v>1072</v>
      </c>
      <c r="I924" s="134">
        <v>30</v>
      </c>
      <c r="J924" s="134">
        <v>8985.3569443546003</v>
      </c>
      <c r="K924" s="13">
        <f t="shared" si="44"/>
        <v>269561</v>
      </c>
      <c r="L924" s="113" t="s">
        <v>161</v>
      </c>
      <c r="M924" s="113" t="s">
        <v>159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>x</v>
      </c>
      <c r="Z924" s="564"/>
    </row>
    <row r="925" spans="1:26" ht="15.75" customHeight="1">
      <c r="A925" s="120" t="str">
        <f>IF(B925&lt;&gt;"",IF(AND(B925&gt;=_TM1,B925&lt;=_TM2,OR(TH!L925="1111",TH!M925="1111")),TH!D925,""),"")</f>
        <v/>
      </c>
      <c r="B925" s="12">
        <f t="shared" si="40"/>
        <v>8</v>
      </c>
      <c r="C925" s="105">
        <f t="shared" si="45"/>
        <v>42592</v>
      </c>
      <c r="D925" s="110" t="s">
        <v>1071</v>
      </c>
      <c r="E925" s="474">
        <v>42592</v>
      </c>
      <c r="F925" s="161" t="s">
        <v>646</v>
      </c>
      <c r="G925" s="475" t="s">
        <v>720</v>
      </c>
      <c r="H925" s="112" t="s">
        <v>1072</v>
      </c>
      <c r="I925" s="133">
        <v>30</v>
      </c>
      <c r="J925" s="133">
        <v>9974.5705529073985</v>
      </c>
      <c r="K925" s="13">
        <f t="shared" si="44"/>
        <v>299237</v>
      </c>
      <c r="L925" s="113" t="s">
        <v>161</v>
      </c>
      <c r="M925" s="113" t="s">
        <v>159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>x</v>
      </c>
      <c r="Z925" s="564"/>
    </row>
    <row r="926" spans="1:26" ht="15.75" customHeight="1">
      <c r="A926" s="120" t="str">
        <f>IF(B926&lt;&gt;"",IF(AND(B926&gt;=_TM1,B926&lt;=_TM2,OR(TH!L926="1111",TH!M926="1111")),TH!D926,""),"")</f>
        <v/>
      </c>
      <c r="B926" s="12">
        <f t="shared" si="40"/>
        <v>8</v>
      </c>
      <c r="C926" s="105">
        <f t="shared" ref="C926:C989" si="46">E926</f>
        <v>42592</v>
      </c>
      <c r="D926" s="110" t="s">
        <v>1071</v>
      </c>
      <c r="E926" s="474">
        <v>42592</v>
      </c>
      <c r="F926" s="161" t="s">
        <v>647</v>
      </c>
      <c r="G926" s="475" t="s">
        <v>720</v>
      </c>
      <c r="H926" s="112" t="s">
        <v>1072</v>
      </c>
      <c r="I926" s="133">
        <v>100</v>
      </c>
      <c r="J926" s="133">
        <v>10963.7841614602</v>
      </c>
      <c r="K926" s="13">
        <f t="shared" si="44"/>
        <v>1096378</v>
      </c>
      <c r="L926" s="113" t="s">
        <v>161</v>
      </c>
      <c r="M926" s="113" t="s">
        <v>159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>x</v>
      </c>
      <c r="Z926" s="564"/>
    </row>
    <row r="927" spans="1:26" ht="15.75" customHeight="1">
      <c r="A927" s="120" t="str">
        <f>IF(B927&lt;&gt;"",IF(AND(B927&gt;=_TM1,B927&lt;=_TM2,OR(TH!L927="1111",TH!M927="1111")),TH!D927,""),"")</f>
        <v/>
      </c>
      <c r="B927" s="12">
        <f t="shared" si="40"/>
        <v>8</v>
      </c>
      <c r="C927" s="105">
        <f t="shared" si="46"/>
        <v>42592</v>
      </c>
      <c r="D927" s="110" t="s">
        <v>1071</v>
      </c>
      <c r="E927" s="474">
        <v>42592</v>
      </c>
      <c r="F927" s="161" t="s">
        <v>817</v>
      </c>
      <c r="G927" s="475" t="s">
        <v>720</v>
      </c>
      <c r="H927" s="112" t="s">
        <v>1072</v>
      </c>
      <c r="I927" s="133">
        <v>60</v>
      </c>
      <c r="J927" s="133">
        <v>17228.803682294598</v>
      </c>
      <c r="K927" s="13">
        <f t="shared" si="44"/>
        <v>1033728</v>
      </c>
      <c r="L927" s="113" t="s">
        <v>161</v>
      </c>
      <c r="M927" s="113" t="s">
        <v>159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>x</v>
      </c>
      <c r="Z927" s="564"/>
    </row>
    <row r="928" spans="1:26" ht="15.75" customHeight="1">
      <c r="A928" s="120" t="str">
        <f>IF(B928&lt;&gt;"",IF(AND(B928&gt;=_TM1,B928&lt;=_TM2,OR(TH!L928="1111",TH!M928="1111")),TH!D928,""),"")</f>
        <v/>
      </c>
      <c r="B928" s="12">
        <f t="shared" si="40"/>
        <v>8</v>
      </c>
      <c r="C928" s="105">
        <f t="shared" si="46"/>
        <v>42592</v>
      </c>
      <c r="D928" s="110" t="s">
        <v>1071</v>
      </c>
      <c r="E928" s="474">
        <v>42592</v>
      </c>
      <c r="F928" s="161" t="s">
        <v>524</v>
      </c>
      <c r="G928" s="475" t="s">
        <v>721</v>
      </c>
      <c r="H928" s="112" t="s">
        <v>1072</v>
      </c>
      <c r="I928" s="133">
        <v>403</v>
      </c>
      <c r="J928" s="133">
        <v>15497.679867327199</v>
      </c>
      <c r="K928" s="13">
        <f t="shared" si="44"/>
        <v>6245565</v>
      </c>
      <c r="L928" s="113" t="s">
        <v>161</v>
      </c>
      <c r="M928" s="113" t="s">
        <v>159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>x</v>
      </c>
      <c r="Z928" s="564"/>
    </row>
    <row r="929" spans="1:26" ht="15.75" customHeight="1">
      <c r="A929" s="120" t="str">
        <f>IF(B929&lt;&gt;"",IF(AND(B929&gt;=_TM1,B929&lt;=_TM2,OR(TH!L929="1111",TH!M929="1111")),TH!D929,""),"")</f>
        <v/>
      </c>
      <c r="B929" s="12">
        <f t="shared" si="40"/>
        <v>8</v>
      </c>
      <c r="C929" s="105">
        <f t="shared" si="46"/>
        <v>42594</v>
      </c>
      <c r="D929" s="110" t="s">
        <v>1071</v>
      </c>
      <c r="E929" s="474">
        <v>42594</v>
      </c>
      <c r="F929" s="161" t="s">
        <v>655</v>
      </c>
      <c r="G929" s="475" t="s">
        <v>722</v>
      </c>
      <c r="H929" s="112" t="s">
        <v>1072</v>
      </c>
      <c r="I929" s="133">
        <v>1330</v>
      </c>
      <c r="J929" s="133">
        <v>10469.177357183798</v>
      </c>
      <c r="K929" s="13">
        <f t="shared" si="44"/>
        <v>13924006</v>
      </c>
      <c r="L929" s="113" t="s">
        <v>161</v>
      </c>
      <c r="M929" s="113" t="s">
        <v>159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>x</v>
      </c>
      <c r="Z929" s="564"/>
    </row>
    <row r="930" spans="1:26" ht="15.75" customHeight="1">
      <c r="A930" s="120" t="str">
        <f>IF(B930&lt;&gt;"",IF(AND(B930&gt;=_TM1,B930&lt;=_TM2,OR(TH!L930="1111",TH!M930="1111")),TH!D930,""),"")</f>
        <v/>
      </c>
      <c r="B930" s="12">
        <f t="shared" si="40"/>
        <v>8</v>
      </c>
      <c r="C930" s="105">
        <f t="shared" si="46"/>
        <v>42594</v>
      </c>
      <c r="D930" s="110" t="s">
        <v>1071</v>
      </c>
      <c r="E930" s="474">
        <v>42594</v>
      </c>
      <c r="F930" s="161" t="s">
        <v>655</v>
      </c>
      <c r="G930" s="475" t="s">
        <v>722</v>
      </c>
      <c r="H930" s="112" t="s">
        <v>1072</v>
      </c>
      <c r="I930" s="133">
        <v>80</v>
      </c>
      <c r="J930" s="133">
        <v>10469.177357183798</v>
      </c>
      <c r="K930" s="13">
        <f t="shared" si="44"/>
        <v>837534</v>
      </c>
      <c r="L930" s="113" t="s">
        <v>161</v>
      </c>
      <c r="M930" s="113" t="s">
        <v>159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>x</v>
      </c>
      <c r="Z930" s="564"/>
    </row>
    <row r="931" spans="1:26" ht="15.75" customHeight="1">
      <c r="A931" s="120" t="str">
        <f>IF(B931&lt;&gt;"",IF(AND(B931&gt;=_TM1,B931&lt;=_TM2,OR(TH!L931="1111",TH!M931="1111")),TH!D931,""),"")</f>
        <v/>
      </c>
      <c r="B931" s="12">
        <f t="shared" si="40"/>
        <v>8</v>
      </c>
      <c r="C931" s="105">
        <f t="shared" si="46"/>
        <v>42594</v>
      </c>
      <c r="D931" s="110" t="s">
        <v>1071</v>
      </c>
      <c r="E931" s="474">
        <v>42594</v>
      </c>
      <c r="F931" s="161" t="s">
        <v>656</v>
      </c>
      <c r="G931" s="475" t="s">
        <v>722</v>
      </c>
      <c r="H931" s="112" t="s">
        <v>1072</v>
      </c>
      <c r="I931" s="133">
        <v>35</v>
      </c>
      <c r="J931" s="133">
        <v>10634.046291942599</v>
      </c>
      <c r="K931" s="13">
        <f t="shared" si="44"/>
        <v>372192</v>
      </c>
      <c r="L931" s="113" t="s">
        <v>161</v>
      </c>
      <c r="M931" s="113" t="s">
        <v>159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>x</v>
      </c>
      <c r="Z931" s="564"/>
    </row>
    <row r="932" spans="1:26" ht="15.75" customHeight="1">
      <c r="A932" s="120" t="str">
        <f>IF(B932&lt;&gt;"",IF(AND(B932&gt;=_TM1,B932&lt;=_TM2,OR(TH!L932="1111",TH!M932="1111")),TH!D932,""),"")</f>
        <v/>
      </c>
      <c r="B932" s="12">
        <f t="shared" si="40"/>
        <v>8</v>
      </c>
      <c r="C932" s="105">
        <f t="shared" si="46"/>
        <v>42594</v>
      </c>
      <c r="D932" s="110" t="s">
        <v>1071</v>
      </c>
      <c r="E932" s="474">
        <v>42594</v>
      </c>
      <c r="F932" s="161" t="s">
        <v>657</v>
      </c>
      <c r="G932" s="475" t="s">
        <v>722</v>
      </c>
      <c r="H932" s="112" t="s">
        <v>1072</v>
      </c>
      <c r="I932" s="133">
        <v>90</v>
      </c>
      <c r="J932" s="133">
        <v>8738.0535422163994</v>
      </c>
      <c r="K932" s="13">
        <f t="shared" si="44"/>
        <v>786425</v>
      </c>
      <c r="L932" s="113" t="s">
        <v>161</v>
      </c>
      <c r="M932" s="113" t="s">
        <v>159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>x</v>
      </c>
      <c r="Z932" s="564"/>
    </row>
    <row r="933" spans="1:26" ht="15.75" customHeight="1">
      <c r="A933" s="120" t="str">
        <f>IF(B933&lt;&gt;"",IF(AND(B933&gt;=_TM1,B933&lt;=_TM2,OR(TH!L933="1111",TH!M933="1111")),TH!D933,""),"")</f>
        <v/>
      </c>
      <c r="B933" s="12">
        <f t="shared" si="40"/>
        <v>8</v>
      </c>
      <c r="C933" s="105">
        <f t="shared" si="46"/>
        <v>42594</v>
      </c>
      <c r="D933" s="110" t="s">
        <v>1071</v>
      </c>
      <c r="E933" s="474">
        <v>42594</v>
      </c>
      <c r="F933" s="161" t="s">
        <v>658</v>
      </c>
      <c r="G933" s="475" t="s">
        <v>722</v>
      </c>
      <c r="H933" s="112" t="s">
        <v>1072</v>
      </c>
      <c r="I933" s="133">
        <v>650</v>
      </c>
      <c r="J933" s="133">
        <v>6842.0607924901988</v>
      </c>
      <c r="K933" s="13">
        <f t="shared" si="44"/>
        <v>4447340</v>
      </c>
      <c r="L933" s="113" t="s">
        <v>161</v>
      </c>
      <c r="M933" s="113" t="s">
        <v>159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>x</v>
      </c>
      <c r="Z933" s="564"/>
    </row>
    <row r="934" spans="1:26" ht="15.75" customHeight="1">
      <c r="A934" s="120" t="str">
        <f>IF(B934&lt;&gt;"",IF(AND(B934&gt;=_TM1,B934&lt;=_TM2,OR(TH!L934="1111",TH!M934="1111")),TH!D934,""),"")</f>
        <v/>
      </c>
      <c r="B934" s="12">
        <f t="shared" si="40"/>
        <v>8</v>
      </c>
      <c r="C934" s="105">
        <f t="shared" si="46"/>
        <v>42594</v>
      </c>
      <c r="D934" s="110" t="s">
        <v>1071</v>
      </c>
      <c r="E934" s="474">
        <v>42594</v>
      </c>
      <c r="F934" s="161" t="s">
        <v>659</v>
      </c>
      <c r="G934" s="475" t="s">
        <v>722</v>
      </c>
      <c r="H934" s="112" t="s">
        <v>1072</v>
      </c>
      <c r="I934" s="133">
        <v>210</v>
      </c>
      <c r="J934" s="133">
        <v>10881.3496940808</v>
      </c>
      <c r="K934" s="13">
        <f t="shared" ref="K934:K997" si="47">ROUND(I934*J934,0)</f>
        <v>2285083</v>
      </c>
      <c r="L934" s="113" t="s">
        <v>161</v>
      </c>
      <c r="M934" s="113" t="s">
        <v>159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>x</v>
      </c>
      <c r="Z934" s="564"/>
    </row>
    <row r="935" spans="1:26" ht="15.75" customHeight="1">
      <c r="A935" s="120" t="str">
        <f>IF(B935&lt;&gt;"",IF(AND(B935&gt;=_TM1,B935&lt;=_TM2,OR(TH!L935="1111",TH!M935="1111")),TH!D935,""),"")</f>
        <v/>
      </c>
      <c r="B935" s="12">
        <f t="shared" si="40"/>
        <v>8</v>
      </c>
      <c r="C935" s="105">
        <f t="shared" si="46"/>
        <v>42597</v>
      </c>
      <c r="D935" s="110" t="s">
        <v>1071</v>
      </c>
      <c r="E935" s="474">
        <v>42597</v>
      </c>
      <c r="F935" s="161" t="s">
        <v>525</v>
      </c>
      <c r="G935" s="475" t="s">
        <v>723</v>
      </c>
      <c r="H935" s="112" t="s">
        <v>1072</v>
      </c>
      <c r="I935" s="133">
        <v>429</v>
      </c>
      <c r="J935" s="133">
        <v>6594.7573903519997</v>
      </c>
      <c r="K935" s="13">
        <f t="shared" si="47"/>
        <v>2829151</v>
      </c>
      <c r="L935" s="113" t="s">
        <v>161</v>
      </c>
      <c r="M935" s="113" t="s">
        <v>159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>x</v>
      </c>
      <c r="Z935" s="564"/>
    </row>
    <row r="936" spans="1:26" ht="15.75" customHeight="1">
      <c r="A936" s="120" t="str">
        <f>IF(B936&lt;&gt;"",IF(AND(B936&gt;=_TM1,B936&lt;=_TM2,OR(TH!L936="1111",TH!M936="1111")),TH!D936,""),"")</f>
        <v/>
      </c>
      <c r="B936" s="12">
        <f t="shared" ref="B936:B999" si="48">IF(C936&lt;&gt;"",MONTH(C936),"")</f>
        <v>8</v>
      </c>
      <c r="C936" s="105">
        <f t="shared" si="46"/>
        <v>42597</v>
      </c>
      <c r="D936" s="110" t="s">
        <v>1071</v>
      </c>
      <c r="E936" s="474">
        <v>42597</v>
      </c>
      <c r="F936" s="161" t="s">
        <v>526</v>
      </c>
      <c r="G936" s="475" t="s">
        <v>723</v>
      </c>
      <c r="H936" s="112" t="s">
        <v>1072</v>
      </c>
      <c r="I936" s="133">
        <v>370</v>
      </c>
      <c r="J936" s="133">
        <v>7666.4054662842</v>
      </c>
      <c r="K936" s="13">
        <f t="shared" si="47"/>
        <v>2836570</v>
      </c>
      <c r="L936" s="113" t="s">
        <v>161</v>
      </c>
      <c r="M936" s="113" t="s">
        <v>159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>x</v>
      </c>
      <c r="Z936" s="564"/>
    </row>
    <row r="937" spans="1:26" ht="15.75" customHeight="1">
      <c r="A937" s="120" t="str">
        <f>IF(B937&lt;&gt;"",IF(AND(B937&gt;=_TM1,B937&lt;=_TM2,OR(TH!L937="1111",TH!M937="1111")),TH!D937,""),"")</f>
        <v/>
      </c>
      <c r="B937" s="12">
        <f t="shared" si="48"/>
        <v>8</v>
      </c>
      <c r="C937" s="105">
        <f t="shared" si="46"/>
        <v>42597</v>
      </c>
      <c r="D937" s="110" t="s">
        <v>1071</v>
      </c>
      <c r="E937" s="474">
        <v>42597</v>
      </c>
      <c r="F937" s="161" t="s">
        <v>527</v>
      </c>
      <c r="G937" s="475" t="s">
        <v>724</v>
      </c>
      <c r="H937" s="112" t="s">
        <v>1072</v>
      </c>
      <c r="I937" s="134">
        <v>130</v>
      </c>
      <c r="J937" s="134">
        <v>59764.988850064998</v>
      </c>
      <c r="K937" s="13">
        <f t="shared" si="47"/>
        <v>7769449</v>
      </c>
      <c r="L937" s="113" t="s">
        <v>161</v>
      </c>
      <c r="M937" s="113" t="s">
        <v>159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>x</v>
      </c>
      <c r="Z937" s="564"/>
    </row>
    <row r="938" spans="1:26" ht="15.75" customHeight="1">
      <c r="A938" s="120" t="str">
        <f>IF(B938&lt;&gt;"",IF(AND(B938&gt;=_TM1,B938&lt;=_TM2,OR(TH!L938="1111",TH!M938="1111")),TH!D938,""),"")</f>
        <v/>
      </c>
      <c r="B938" s="12">
        <f t="shared" si="48"/>
        <v>8</v>
      </c>
      <c r="C938" s="105">
        <f t="shared" si="46"/>
        <v>42599</v>
      </c>
      <c r="D938" s="110" t="s">
        <v>1071</v>
      </c>
      <c r="E938" s="474">
        <v>42599</v>
      </c>
      <c r="F938" s="161" t="s">
        <v>528</v>
      </c>
      <c r="G938" s="475" t="s">
        <v>725</v>
      </c>
      <c r="H938" s="112" t="s">
        <v>1072</v>
      </c>
      <c r="I938" s="134">
        <v>309</v>
      </c>
      <c r="J938" s="134">
        <v>6100.1505860755997</v>
      </c>
      <c r="K938" s="13">
        <f t="shared" si="47"/>
        <v>1884947</v>
      </c>
      <c r="L938" s="113" t="s">
        <v>161</v>
      </c>
      <c r="M938" s="113" t="s">
        <v>159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>x</v>
      </c>
      <c r="Z938" s="564"/>
    </row>
    <row r="939" spans="1:26" ht="15.75" customHeight="1">
      <c r="A939" s="120" t="str">
        <f>IF(B939&lt;&gt;"",IF(AND(B939&gt;=_TM1,B939&lt;=_TM2,OR(TH!L939="1111",TH!M939="1111")),TH!D939,""),"")</f>
        <v/>
      </c>
      <c r="B939" s="12">
        <f t="shared" si="48"/>
        <v>8</v>
      </c>
      <c r="C939" s="105">
        <f t="shared" si="46"/>
        <v>42599</v>
      </c>
      <c r="D939" s="110" t="s">
        <v>1071</v>
      </c>
      <c r="E939" s="474">
        <v>42599</v>
      </c>
      <c r="F939" s="161" t="s">
        <v>529</v>
      </c>
      <c r="G939" s="475" t="s">
        <v>726</v>
      </c>
      <c r="H939" s="112" t="s">
        <v>1072</v>
      </c>
      <c r="I939" s="133">
        <v>19</v>
      </c>
      <c r="J939" s="133">
        <v>11293.5220309778</v>
      </c>
      <c r="K939" s="13">
        <f t="shared" si="47"/>
        <v>214577</v>
      </c>
      <c r="L939" s="113" t="s">
        <v>161</v>
      </c>
      <c r="M939" s="113" t="s">
        <v>159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>x</v>
      </c>
      <c r="Z939" s="564"/>
    </row>
    <row r="940" spans="1:26" ht="15.75" customHeight="1">
      <c r="A940" s="120" t="str">
        <f>IF(B940&lt;&gt;"",IF(AND(B940&gt;=_TM1,B940&lt;=_TM2,OR(TH!L940="1111",TH!M940="1111")),TH!D940,""),"")</f>
        <v/>
      </c>
      <c r="B940" s="12">
        <f t="shared" si="48"/>
        <v>8</v>
      </c>
      <c r="C940" s="105">
        <f t="shared" si="46"/>
        <v>42602</v>
      </c>
      <c r="D940" s="110" t="s">
        <v>1071</v>
      </c>
      <c r="E940" s="474">
        <v>42602</v>
      </c>
      <c r="F940" s="161" t="s">
        <v>508</v>
      </c>
      <c r="G940" s="475" t="s">
        <v>728</v>
      </c>
      <c r="H940" s="112" t="s">
        <v>1072</v>
      </c>
      <c r="I940" s="133">
        <v>940</v>
      </c>
      <c r="J940" s="133">
        <v>5687.9782491785991</v>
      </c>
      <c r="K940" s="13">
        <f t="shared" si="47"/>
        <v>5346700</v>
      </c>
      <c r="L940" s="113" t="s">
        <v>161</v>
      </c>
      <c r="M940" s="113" t="s">
        <v>159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>x</v>
      </c>
      <c r="Z940" s="564"/>
    </row>
    <row r="941" spans="1:26" ht="15.75" customHeight="1">
      <c r="A941" s="120" t="str">
        <f>IF(B941&lt;&gt;"",IF(AND(B941&gt;=_TM1,B941&lt;=_TM2,OR(TH!L941="1111",TH!M941="1111")),TH!D941,""),"")</f>
        <v/>
      </c>
      <c r="B941" s="12">
        <f t="shared" si="48"/>
        <v>8</v>
      </c>
      <c r="C941" s="105">
        <f t="shared" si="46"/>
        <v>42605</v>
      </c>
      <c r="D941" s="110" t="s">
        <v>1071</v>
      </c>
      <c r="E941" s="474">
        <v>42605</v>
      </c>
      <c r="F941" s="161" t="s">
        <v>683</v>
      </c>
      <c r="G941" s="475" t="s">
        <v>729</v>
      </c>
      <c r="H941" s="112" t="s">
        <v>1072</v>
      </c>
      <c r="I941" s="134">
        <v>58</v>
      </c>
      <c r="J941" s="134">
        <v>16239.590073741798</v>
      </c>
      <c r="K941" s="13">
        <f t="shared" si="47"/>
        <v>941896</v>
      </c>
      <c r="L941" s="113" t="s">
        <v>161</v>
      </c>
      <c r="M941" s="113" t="s">
        <v>159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>x</v>
      </c>
      <c r="Z941" s="564"/>
    </row>
    <row r="942" spans="1:26" ht="15.75" customHeight="1">
      <c r="A942" s="120" t="str">
        <f>IF(B942&lt;&gt;"",IF(AND(B942&gt;=_TM1,B942&lt;=_TM2,OR(TH!L942="1111",TH!M942="1111")),TH!D942,""),"")</f>
        <v/>
      </c>
      <c r="B942" s="12">
        <f t="shared" si="48"/>
        <v>8</v>
      </c>
      <c r="C942" s="105">
        <f t="shared" si="46"/>
        <v>42605</v>
      </c>
      <c r="D942" s="110" t="s">
        <v>1071</v>
      </c>
      <c r="E942" s="474">
        <v>42605</v>
      </c>
      <c r="F942" s="161" t="s">
        <v>496</v>
      </c>
      <c r="G942" s="475" t="s">
        <v>729</v>
      </c>
      <c r="H942" s="112" t="s">
        <v>1072</v>
      </c>
      <c r="I942" s="133">
        <v>56</v>
      </c>
      <c r="J942" s="133">
        <v>824.34467379399996</v>
      </c>
      <c r="K942" s="13">
        <f t="shared" si="47"/>
        <v>46163</v>
      </c>
      <c r="L942" s="113" t="s">
        <v>161</v>
      </c>
      <c r="M942" s="113" t="s">
        <v>159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>x</v>
      </c>
      <c r="Z942" s="564"/>
    </row>
    <row r="943" spans="1:26" ht="15.75" customHeight="1">
      <c r="A943" s="120" t="str">
        <f>IF(B943&lt;&gt;"",IF(AND(B943&gt;=_TM1,B943&lt;=_TM2,OR(TH!L943="1111",TH!M943="1111")),TH!D943,""),"")</f>
        <v/>
      </c>
      <c r="B943" s="12">
        <f t="shared" si="48"/>
        <v>8</v>
      </c>
      <c r="C943" s="105">
        <f t="shared" si="46"/>
        <v>42607</v>
      </c>
      <c r="D943" s="110" t="s">
        <v>1071</v>
      </c>
      <c r="E943" s="474">
        <v>42607</v>
      </c>
      <c r="F943" s="161" t="s">
        <v>651</v>
      </c>
      <c r="G943" s="475" t="s">
        <v>730</v>
      </c>
      <c r="H943" s="112" t="s">
        <v>1072</v>
      </c>
      <c r="I943" s="133">
        <v>1040</v>
      </c>
      <c r="J943" s="133">
        <v>11870.563302633598</v>
      </c>
      <c r="K943" s="13">
        <f t="shared" si="47"/>
        <v>12345386</v>
      </c>
      <c r="L943" s="113" t="s">
        <v>161</v>
      </c>
      <c r="M943" s="113" t="s">
        <v>159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>x</v>
      </c>
      <c r="Z943" s="564"/>
    </row>
    <row r="944" spans="1:26" ht="15.75" customHeight="1">
      <c r="A944" s="120" t="str">
        <f>IF(B944&lt;&gt;"",IF(AND(B944&gt;=_TM1,B944&lt;=_TM2,OR(TH!L944="1111",TH!M944="1111")),TH!D944,""),"")</f>
        <v/>
      </c>
      <c r="B944" s="12">
        <f t="shared" si="48"/>
        <v>8</v>
      </c>
      <c r="C944" s="105">
        <f t="shared" si="46"/>
        <v>42607</v>
      </c>
      <c r="D944" s="110" t="s">
        <v>1071</v>
      </c>
      <c r="E944" s="474">
        <v>42607</v>
      </c>
      <c r="F944" s="161" t="s">
        <v>651</v>
      </c>
      <c r="G944" s="475" t="s">
        <v>731</v>
      </c>
      <c r="H944" s="112" t="s">
        <v>1072</v>
      </c>
      <c r="I944" s="133">
        <v>110</v>
      </c>
      <c r="J944" s="133">
        <v>11870.563302633598</v>
      </c>
      <c r="K944" s="13">
        <f t="shared" si="47"/>
        <v>1305762</v>
      </c>
      <c r="L944" s="113" t="s">
        <v>161</v>
      </c>
      <c r="M944" s="113" t="s">
        <v>159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>x</v>
      </c>
      <c r="Z944" s="564"/>
    </row>
    <row r="945" spans="1:26" ht="15.75" customHeight="1">
      <c r="A945" s="120" t="str">
        <f>IF(B945&lt;&gt;"",IF(AND(B945&gt;=_TM1,B945&lt;=_TM2,OR(TH!L945="1111",TH!M945="1111")),TH!D945,""),"")</f>
        <v/>
      </c>
      <c r="B945" s="12">
        <f t="shared" si="48"/>
        <v>8</v>
      </c>
      <c r="C945" s="105">
        <f t="shared" si="46"/>
        <v>42608</v>
      </c>
      <c r="D945" s="110" t="s">
        <v>1071</v>
      </c>
      <c r="E945" s="474">
        <v>42608</v>
      </c>
      <c r="F945" s="161" t="s">
        <v>532</v>
      </c>
      <c r="G945" s="475" t="s">
        <v>732</v>
      </c>
      <c r="H945" s="112" t="s">
        <v>1072</v>
      </c>
      <c r="I945" s="133">
        <v>120</v>
      </c>
      <c r="J945" s="133">
        <v>12612.473509048199</v>
      </c>
      <c r="K945" s="13">
        <f t="shared" si="47"/>
        <v>1513497</v>
      </c>
      <c r="L945" s="113" t="s">
        <v>161</v>
      </c>
      <c r="M945" s="113" t="s">
        <v>159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>x</v>
      </c>
      <c r="Z945" s="564"/>
    </row>
    <row r="946" spans="1:26" ht="15.75" customHeight="1">
      <c r="A946" s="120" t="str">
        <f>IF(B946&lt;&gt;"",IF(AND(B946&gt;=_TM1,B946&lt;=_TM2,OR(TH!L946="1111",TH!M946="1111")),TH!D946,""),"")</f>
        <v/>
      </c>
      <c r="B946" s="12">
        <f t="shared" si="48"/>
        <v>8</v>
      </c>
      <c r="C946" s="105">
        <f t="shared" si="46"/>
        <v>42608</v>
      </c>
      <c r="D946" s="110" t="s">
        <v>1071</v>
      </c>
      <c r="E946" s="474">
        <v>42608</v>
      </c>
      <c r="F946" s="161" t="s">
        <v>533</v>
      </c>
      <c r="G946" s="475" t="s">
        <v>732</v>
      </c>
      <c r="H946" s="112" t="s">
        <v>1072</v>
      </c>
      <c r="I946" s="133">
        <v>240</v>
      </c>
      <c r="J946" s="133">
        <v>1566.2548802085998</v>
      </c>
      <c r="K946" s="13">
        <f t="shared" si="47"/>
        <v>375901</v>
      </c>
      <c r="L946" s="113" t="s">
        <v>161</v>
      </c>
      <c r="M946" s="113" t="s">
        <v>159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>x</v>
      </c>
      <c r="Z946" s="564"/>
    </row>
    <row r="947" spans="1:26" ht="15.75" customHeight="1">
      <c r="A947" s="120" t="str">
        <f>IF(B947&lt;&gt;"",IF(AND(B947&gt;=_TM1,B947&lt;=_TM2,OR(TH!L947="1111",TH!M947="1111")),TH!D947,""),"")</f>
        <v/>
      </c>
      <c r="B947" s="12">
        <f t="shared" si="48"/>
        <v>8</v>
      </c>
      <c r="C947" s="105">
        <f t="shared" si="46"/>
        <v>42608</v>
      </c>
      <c r="D947" s="110" t="s">
        <v>1071</v>
      </c>
      <c r="E947" s="474">
        <v>42608</v>
      </c>
      <c r="F947" s="161" t="s">
        <v>513</v>
      </c>
      <c r="G947" s="475" t="s">
        <v>733</v>
      </c>
      <c r="H947" s="112" t="s">
        <v>1072</v>
      </c>
      <c r="I947" s="133">
        <v>513</v>
      </c>
      <c r="J947" s="133">
        <v>7831.2744010429988</v>
      </c>
      <c r="K947" s="13">
        <f t="shared" si="47"/>
        <v>4017444</v>
      </c>
      <c r="L947" s="113" t="s">
        <v>161</v>
      </c>
      <c r="M947" s="113" t="s">
        <v>159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>x</v>
      </c>
      <c r="Z947" s="564"/>
    </row>
    <row r="948" spans="1:26" ht="15.75" customHeight="1">
      <c r="A948" s="120" t="str">
        <f>IF(B948&lt;&gt;"",IF(AND(B948&gt;=_TM1,B948&lt;=_TM2,OR(TH!L948="1111",TH!M948="1111")),TH!D948,""),"")</f>
        <v/>
      </c>
      <c r="B948" s="12">
        <f t="shared" si="48"/>
        <v>8</v>
      </c>
      <c r="C948" s="105">
        <f t="shared" si="46"/>
        <v>42608</v>
      </c>
      <c r="D948" s="110" t="s">
        <v>1071</v>
      </c>
      <c r="E948" s="474">
        <v>42608</v>
      </c>
      <c r="F948" s="161" t="s">
        <v>534</v>
      </c>
      <c r="G948" s="475" t="s">
        <v>734</v>
      </c>
      <c r="H948" s="112" t="s">
        <v>1072</v>
      </c>
      <c r="I948" s="133">
        <v>1000</v>
      </c>
      <c r="J948" s="133">
        <v>5935.2816513167991</v>
      </c>
      <c r="K948" s="13">
        <f t="shared" si="47"/>
        <v>5935282</v>
      </c>
      <c r="L948" s="113" t="s">
        <v>161</v>
      </c>
      <c r="M948" s="113" t="s">
        <v>159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>x</v>
      </c>
      <c r="Z948" s="564"/>
    </row>
    <row r="949" spans="1:26" ht="15.75" customHeight="1">
      <c r="A949" s="120" t="str">
        <f>IF(B949&lt;&gt;"",IF(AND(B949&gt;=_TM1,B949&lt;=_TM2,OR(TH!L949="1111",TH!M949="1111")),TH!D949,""),"")</f>
        <v/>
      </c>
      <c r="B949" s="12">
        <f t="shared" si="48"/>
        <v>8</v>
      </c>
      <c r="C949" s="105">
        <f t="shared" si="46"/>
        <v>42608</v>
      </c>
      <c r="D949" s="110" t="s">
        <v>1071</v>
      </c>
      <c r="E949" s="474">
        <v>42608</v>
      </c>
      <c r="F949" s="161" t="s">
        <v>535</v>
      </c>
      <c r="G949" s="475" t="s">
        <v>734</v>
      </c>
      <c r="H949" s="112" t="s">
        <v>1072</v>
      </c>
      <c r="I949" s="134">
        <v>970</v>
      </c>
      <c r="J949" s="134">
        <v>6182.5850534549991</v>
      </c>
      <c r="K949" s="13">
        <f t="shared" si="47"/>
        <v>5997108</v>
      </c>
      <c r="L949" s="113" t="s">
        <v>161</v>
      </c>
      <c r="M949" s="113" t="s">
        <v>159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>x</v>
      </c>
      <c r="Z949" s="564"/>
    </row>
    <row r="950" spans="1:26" ht="15.75" customHeight="1">
      <c r="A950" s="120" t="str">
        <f>IF(B950&lt;&gt;"",IF(AND(B950&gt;=_TM1,B950&lt;=_TM2,OR(TH!L950="1111",TH!M950="1111")),TH!D950,""),"")</f>
        <v/>
      </c>
      <c r="B950" s="12">
        <f t="shared" si="48"/>
        <v>8</v>
      </c>
      <c r="C950" s="105">
        <f t="shared" si="46"/>
        <v>42609</v>
      </c>
      <c r="D950" s="110" t="s">
        <v>1071</v>
      </c>
      <c r="E950" s="474">
        <v>42609</v>
      </c>
      <c r="F950" s="161" t="s">
        <v>536</v>
      </c>
      <c r="G950" s="475" t="s">
        <v>735</v>
      </c>
      <c r="H950" s="112" t="s">
        <v>1072</v>
      </c>
      <c r="I950" s="133">
        <v>203</v>
      </c>
      <c r="J950" s="133">
        <v>6429.8884555932</v>
      </c>
      <c r="K950" s="13">
        <f t="shared" si="47"/>
        <v>1305267</v>
      </c>
      <c r="L950" s="113" t="s">
        <v>161</v>
      </c>
      <c r="M950" s="113" t="s">
        <v>159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>x</v>
      </c>
      <c r="Z950" s="564"/>
    </row>
    <row r="951" spans="1:26" ht="15.75" customHeight="1">
      <c r="A951" s="120" t="str">
        <f>IF(B951&lt;&gt;"",IF(AND(B951&gt;=_TM1,B951&lt;=_TM2,OR(TH!L951="1111",TH!M951="1111")),TH!D951,""),"")</f>
        <v/>
      </c>
      <c r="B951" s="12">
        <f t="shared" si="48"/>
        <v>8</v>
      </c>
      <c r="C951" s="105">
        <f t="shared" si="46"/>
        <v>42611</v>
      </c>
      <c r="D951" s="110" t="s">
        <v>1071</v>
      </c>
      <c r="E951" s="474">
        <v>42611</v>
      </c>
      <c r="F951" s="161" t="s">
        <v>527</v>
      </c>
      <c r="G951" s="475" t="s">
        <v>736</v>
      </c>
      <c r="H951" s="112" t="s">
        <v>1072</v>
      </c>
      <c r="I951" s="133">
        <v>160</v>
      </c>
      <c r="J951" s="133">
        <v>59764.988850064998</v>
      </c>
      <c r="K951" s="13">
        <f t="shared" si="47"/>
        <v>9562398</v>
      </c>
      <c r="L951" s="113" t="s">
        <v>161</v>
      </c>
      <c r="M951" s="113" t="s">
        <v>159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>x</v>
      </c>
      <c r="Z951" s="564"/>
    </row>
    <row r="952" spans="1:26" ht="15.75" customHeight="1">
      <c r="A952" s="120" t="str">
        <f>IF(B952&lt;&gt;"",IF(AND(B952&gt;=_TM1,B952&lt;=_TM2,OR(TH!L952="1111",TH!M952="1111")),TH!D952,""),"")</f>
        <v/>
      </c>
      <c r="B952" s="12">
        <f t="shared" si="48"/>
        <v>8</v>
      </c>
      <c r="C952" s="105">
        <f t="shared" si="46"/>
        <v>42612</v>
      </c>
      <c r="D952" s="110" t="s">
        <v>1071</v>
      </c>
      <c r="E952" s="474">
        <v>42612</v>
      </c>
      <c r="F952" s="161" t="s">
        <v>368</v>
      </c>
      <c r="G952" s="475" t="s">
        <v>737</v>
      </c>
      <c r="H952" s="112" t="s">
        <v>1072</v>
      </c>
      <c r="I952" s="133">
        <v>500</v>
      </c>
      <c r="J952" s="133">
        <v>19042.361964641397</v>
      </c>
      <c r="K952" s="13">
        <f t="shared" si="47"/>
        <v>9521181</v>
      </c>
      <c r="L952" s="113" t="s">
        <v>161</v>
      </c>
      <c r="M952" s="113" t="s">
        <v>159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>x</v>
      </c>
      <c r="Z952" s="564"/>
    </row>
    <row r="953" spans="1:26" ht="15.75" customHeight="1">
      <c r="A953" s="120" t="str">
        <f>IF(B953&lt;&gt;"",IF(AND(B953&gt;=_TM1,B953&lt;=_TM2,OR(TH!L953="1111",TH!M953="1111")),TH!D953,""),"")</f>
        <v/>
      </c>
      <c r="B953" s="12">
        <f t="shared" si="48"/>
        <v>8</v>
      </c>
      <c r="C953" s="105">
        <f t="shared" si="46"/>
        <v>42613</v>
      </c>
      <c r="D953" s="110" t="s">
        <v>1071</v>
      </c>
      <c r="E953" s="474">
        <v>42613</v>
      </c>
      <c r="F953" s="161" t="s">
        <v>500</v>
      </c>
      <c r="G953" s="475" t="s">
        <v>738</v>
      </c>
      <c r="H953" s="112" t="s">
        <v>1072</v>
      </c>
      <c r="I953" s="133">
        <v>1500</v>
      </c>
      <c r="J953" s="133">
        <v>9397.5292812515981</v>
      </c>
      <c r="K953" s="13">
        <f t="shared" si="47"/>
        <v>14096294</v>
      </c>
      <c r="L953" s="113" t="s">
        <v>161</v>
      </c>
      <c r="M953" s="113" t="s">
        <v>159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>x</v>
      </c>
      <c r="Z953" s="564"/>
    </row>
    <row r="954" spans="1:26" ht="15.75" customHeight="1">
      <c r="A954" s="120" t="str">
        <f>IF(B954&lt;&gt;"",IF(AND(B954&gt;=_TM1,B954&lt;=_TM2,OR(TH!L954="1111",TH!M954="1111")),TH!D954,""),"")</f>
        <v/>
      </c>
      <c r="B954" s="12">
        <f t="shared" si="48"/>
        <v>8</v>
      </c>
      <c r="C954" s="105">
        <f t="shared" si="46"/>
        <v>42613</v>
      </c>
      <c r="D954" s="110" t="s">
        <v>1071</v>
      </c>
      <c r="E954" s="474">
        <v>42613</v>
      </c>
      <c r="F954" s="161" t="s">
        <v>500</v>
      </c>
      <c r="G954" s="475" t="s">
        <v>738</v>
      </c>
      <c r="H954" s="112" t="s">
        <v>1072</v>
      </c>
      <c r="I954" s="133">
        <v>400</v>
      </c>
      <c r="J954" s="133">
        <v>9397.5292812515981</v>
      </c>
      <c r="K954" s="13">
        <f t="shared" si="47"/>
        <v>3759012</v>
      </c>
      <c r="L954" s="113" t="s">
        <v>161</v>
      </c>
      <c r="M954" s="113" t="s">
        <v>159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>x</v>
      </c>
      <c r="Z954" s="564"/>
    </row>
    <row r="955" spans="1:26" ht="15.75" customHeight="1">
      <c r="A955" s="120" t="str">
        <f>IF(B955&lt;&gt;"",IF(AND(B955&gt;=_TM1,B955&lt;=_TM2,OR(TH!L955="1111",TH!M955="1111")),TH!D955,""),"")</f>
        <v/>
      </c>
      <c r="B955" s="12">
        <f t="shared" si="48"/>
        <v>8</v>
      </c>
      <c r="C955" s="105">
        <f t="shared" si="46"/>
        <v>42613</v>
      </c>
      <c r="D955" s="110" t="s">
        <v>1071</v>
      </c>
      <c r="E955" s="474">
        <v>42613</v>
      </c>
      <c r="F955" s="161" t="s">
        <v>375</v>
      </c>
      <c r="G955" s="475" t="s">
        <v>738</v>
      </c>
      <c r="H955" s="112" t="s">
        <v>1072</v>
      </c>
      <c r="I955" s="133">
        <v>3800</v>
      </c>
      <c r="J955" s="133">
        <v>741.91020641459988</v>
      </c>
      <c r="K955" s="13">
        <f t="shared" si="47"/>
        <v>2819259</v>
      </c>
      <c r="L955" s="113" t="s">
        <v>161</v>
      </c>
      <c r="M955" s="113" t="s">
        <v>159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>x</v>
      </c>
      <c r="Z955" s="564"/>
    </row>
    <row r="956" spans="1:26" ht="15.75" customHeight="1">
      <c r="A956" s="120" t="str">
        <f>IF(B956&lt;&gt;"",IF(AND(B956&gt;=_TM1,B956&lt;=_TM2,OR(TH!L956="1111",TH!M956="1111")),TH!D956,""),"")</f>
        <v/>
      </c>
      <c r="B956" s="12">
        <f t="shared" si="48"/>
        <v>8</v>
      </c>
      <c r="C956" s="105">
        <f t="shared" si="46"/>
        <v>42613</v>
      </c>
      <c r="D956" s="110" t="s">
        <v>1071</v>
      </c>
      <c r="E956" s="474">
        <v>42613</v>
      </c>
      <c r="F956" s="161" t="s">
        <v>518</v>
      </c>
      <c r="G956" s="475" t="s">
        <v>739</v>
      </c>
      <c r="H956" s="112" t="s">
        <v>1072</v>
      </c>
      <c r="I956" s="133">
        <v>819</v>
      </c>
      <c r="J956" s="133">
        <v>6759.6263251107994</v>
      </c>
      <c r="K956" s="13">
        <f t="shared" si="47"/>
        <v>5536134</v>
      </c>
      <c r="L956" s="113" t="s">
        <v>161</v>
      </c>
      <c r="M956" s="113" t="s">
        <v>159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>x</v>
      </c>
      <c r="Z956" s="564"/>
    </row>
    <row r="957" spans="1:26" ht="15.75" customHeight="1">
      <c r="A957" s="120" t="str">
        <f>IF(B957&lt;&gt;"",IF(AND(B957&gt;=_TM1,B957&lt;=_TM2,OR(TH!L957="1111",TH!M957="1111")),TH!D957,""),"")</f>
        <v/>
      </c>
      <c r="B957" s="12">
        <f t="shared" si="48"/>
        <v>8</v>
      </c>
      <c r="C957" s="105">
        <f t="shared" si="46"/>
        <v>42613</v>
      </c>
      <c r="D957" s="110" t="s">
        <v>1071</v>
      </c>
      <c r="E957" s="474">
        <v>42613</v>
      </c>
      <c r="F957" s="161" t="s">
        <v>544</v>
      </c>
      <c r="G957" s="475" t="s">
        <v>739</v>
      </c>
      <c r="H957" s="112" t="s">
        <v>1072</v>
      </c>
      <c r="I957" s="133">
        <v>610</v>
      </c>
      <c r="J957" s="133">
        <v>7501.5365315253994</v>
      </c>
      <c r="K957" s="13">
        <f t="shared" si="47"/>
        <v>4575937</v>
      </c>
      <c r="L957" s="113" t="s">
        <v>161</v>
      </c>
      <c r="M957" s="113" t="s">
        <v>159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>x</v>
      </c>
      <c r="Z957" s="564"/>
    </row>
    <row r="958" spans="1:26" ht="15.75" customHeight="1">
      <c r="A958" s="120" t="str">
        <f>IF(B958&lt;&gt;"",IF(AND(B958&gt;=_TM1,B958&lt;=_TM2,OR(TH!L958="1111",TH!M958="1111")),TH!D958,""),"")</f>
        <v/>
      </c>
      <c r="B958" s="12">
        <f t="shared" si="48"/>
        <v>8</v>
      </c>
      <c r="C958" s="105">
        <f t="shared" si="46"/>
        <v>42613</v>
      </c>
      <c r="D958" s="110" t="s">
        <v>1071</v>
      </c>
      <c r="E958" s="474">
        <v>42613</v>
      </c>
      <c r="F958" s="161" t="s">
        <v>520</v>
      </c>
      <c r="G958" s="475" t="s">
        <v>739</v>
      </c>
      <c r="H958" s="112" t="s">
        <v>1072</v>
      </c>
      <c r="I958" s="134">
        <v>599</v>
      </c>
      <c r="J958" s="134">
        <v>13024.645845945199</v>
      </c>
      <c r="K958" s="13">
        <f t="shared" si="47"/>
        <v>7801763</v>
      </c>
      <c r="L958" s="113" t="s">
        <v>161</v>
      </c>
      <c r="M958" s="113" t="s">
        <v>159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>x</v>
      </c>
      <c r="Z958" s="564"/>
    </row>
    <row r="959" spans="1:26" ht="15.75" customHeight="1">
      <c r="A959" s="120" t="str">
        <f>IF(B959&lt;&gt;"",IF(AND(B959&gt;=_TM1,B959&lt;=_TM2,OR(TH!L959="1111",TH!M959="1111")),TH!D959,""),"")</f>
        <v/>
      </c>
      <c r="B959" s="12">
        <f t="shared" si="48"/>
        <v>8</v>
      </c>
      <c r="C959" s="105">
        <f t="shared" si="46"/>
        <v>42613</v>
      </c>
      <c r="D959" s="110" t="s">
        <v>1071</v>
      </c>
      <c r="E959" s="474">
        <v>42613</v>
      </c>
      <c r="F959" s="161" t="s">
        <v>623</v>
      </c>
      <c r="G959" s="475" t="s">
        <v>739</v>
      </c>
      <c r="H959" s="112" t="s">
        <v>1072</v>
      </c>
      <c r="I959" s="134">
        <v>305</v>
      </c>
      <c r="J959" s="134">
        <v>15827.417736844798</v>
      </c>
      <c r="K959" s="13">
        <f t="shared" si="47"/>
        <v>4827362</v>
      </c>
      <c r="L959" s="113" t="s">
        <v>161</v>
      </c>
      <c r="M959" s="113" t="s">
        <v>159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>x</v>
      </c>
      <c r="Z959" s="564"/>
    </row>
    <row r="960" spans="1:26" ht="15.75" customHeight="1">
      <c r="A960" s="120" t="str">
        <f>IF(B960&lt;&gt;"",IF(AND(B960&gt;=_TM1,B960&lt;=_TM2,OR(TH!L960="1111",TH!M960="1111")),TH!D960,""),"")</f>
        <v/>
      </c>
      <c r="B960" s="12">
        <f t="shared" si="48"/>
        <v>9</v>
      </c>
      <c r="C960" s="105">
        <f t="shared" si="46"/>
        <v>42614</v>
      </c>
      <c r="D960" s="110" t="s">
        <v>1071</v>
      </c>
      <c r="E960" s="474">
        <v>42614</v>
      </c>
      <c r="F960" s="161" t="s">
        <v>538</v>
      </c>
      <c r="G960" s="475" t="s">
        <v>740</v>
      </c>
      <c r="H960" s="112" t="s">
        <v>1072</v>
      </c>
      <c r="I960" s="133">
        <v>504</v>
      </c>
      <c r="J960" s="133">
        <v>7996.1433358017994</v>
      </c>
      <c r="K960" s="13">
        <f t="shared" si="47"/>
        <v>4030056</v>
      </c>
      <c r="L960" s="113" t="s">
        <v>161</v>
      </c>
      <c r="M960" s="113" t="s">
        <v>159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>x</v>
      </c>
      <c r="Z960" s="564"/>
    </row>
    <row r="961" spans="1:26" ht="15.75" customHeight="1">
      <c r="A961" s="120" t="str">
        <f>IF(B961&lt;&gt;"",IF(AND(B961&gt;=_TM1,B961&lt;=_TM2,OR(TH!L961="1111",TH!M961="1111")),TH!D961,""),"")</f>
        <v/>
      </c>
      <c r="B961" s="12">
        <f t="shared" si="48"/>
        <v>9</v>
      </c>
      <c r="C961" s="105">
        <f t="shared" si="46"/>
        <v>42614</v>
      </c>
      <c r="D961" s="110" t="s">
        <v>1071</v>
      </c>
      <c r="E961" s="474">
        <v>42614</v>
      </c>
      <c r="F961" s="161" t="s">
        <v>539</v>
      </c>
      <c r="G961" s="475" t="s">
        <v>741</v>
      </c>
      <c r="H961" s="112" t="s">
        <v>1072</v>
      </c>
      <c r="I961" s="133">
        <v>2660</v>
      </c>
      <c r="J961" s="133">
        <v>5358.2403796609997</v>
      </c>
      <c r="K961" s="13">
        <f t="shared" si="47"/>
        <v>14252919</v>
      </c>
      <c r="L961" s="113" t="s">
        <v>161</v>
      </c>
      <c r="M961" s="113" t="s">
        <v>159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>x</v>
      </c>
      <c r="Z961" s="564"/>
    </row>
    <row r="962" spans="1:26" ht="15.75" customHeight="1">
      <c r="A962" s="120" t="str">
        <f>IF(B962&lt;&gt;"",IF(AND(B962&gt;=_TM1,B962&lt;=_TM2,OR(TH!L962="1111",TH!M962="1111")),TH!D962,""),"")</f>
        <v/>
      </c>
      <c r="B962" s="12">
        <f t="shared" si="48"/>
        <v>9</v>
      </c>
      <c r="C962" s="105">
        <f t="shared" si="46"/>
        <v>42618</v>
      </c>
      <c r="D962" s="110" t="s">
        <v>1071</v>
      </c>
      <c r="E962" s="474">
        <v>42618</v>
      </c>
      <c r="F962" s="161" t="s">
        <v>649</v>
      </c>
      <c r="G962" s="475" t="s">
        <v>742</v>
      </c>
      <c r="H962" s="112" t="s">
        <v>1072</v>
      </c>
      <c r="I962" s="133">
        <v>412</v>
      </c>
      <c r="J962" s="133">
        <v>8573.1846074575988</v>
      </c>
      <c r="K962" s="13">
        <f t="shared" si="47"/>
        <v>3532152</v>
      </c>
      <c r="L962" s="113" t="s">
        <v>161</v>
      </c>
      <c r="M962" s="113" t="s">
        <v>159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>x</v>
      </c>
      <c r="Z962" s="564"/>
    </row>
    <row r="963" spans="1:26" ht="15.75" customHeight="1">
      <c r="A963" s="120" t="str">
        <f>IF(B963&lt;&gt;"",IF(AND(B963&gt;=_TM1,B963&lt;=_TM2,OR(TH!L963="1111",TH!M963="1111")),TH!D963,""),"")</f>
        <v/>
      </c>
      <c r="B963" s="12">
        <f t="shared" si="48"/>
        <v>9</v>
      </c>
      <c r="C963" s="105">
        <f t="shared" si="46"/>
        <v>42618</v>
      </c>
      <c r="D963" s="110" t="s">
        <v>1071</v>
      </c>
      <c r="E963" s="474">
        <v>42618</v>
      </c>
      <c r="F963" s="161" t="s">
        <v>498</v>
      </c>
      <c r="G963" s="475" t="s">
        <v>742</v>
      </c>
      <c r="H963" s="112" t="s">
        <v>1072</v>
      </c>
      <c r="I963" s="133">
        <v>382</v>
      </c>
      <c r="J963" s="133">
        <v>10551.611824563199</v>
      </c>
      <c r="K963" s="13">
        <f t="shared" si="47"/>
        <v>4030716</v>
      </c>
      <c r="L963" s="113" t="s">
        <v>161</v>
      </c>
      <c r="M963" s="113" t="s">
        <v>159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>x</v>
      </c>
      <c r="Z963" s="564"/>
    </row>
    <row r="964" spans="1:26" ht="15.75" customHeight="1">
      <c r="A964" s="120" t="str">
        <f>IF(B964&lt;&gt;"",IF(AND(B964&gt;=_TM1,B964&lt;=_TM2,OR(TH!L964="1111",TH!M964="1111")),TH!D964,""),"")</f>
        <v/>
      </c>
      <c r="B964" s="12">
        <f t="shared" si="48"/>
        <v>9</v>
      </c>
      <c r="C964" s="105">
        <f t="shared" si="46"/>
        <v>42618</v>
      </c>
      <c r="D964" s="110" t="s">
        <v>1071</v>
      </c>
      <c r="E964" s="474">
        <v>42618</v>
      </c>
      <c r="F964" s="161" t="s">
        <v>498</v>
      </c>
      <c r="G964" s="475" t="s">
        <v>742</v>
      </c>
      <c r="H964" s="112" t="s">
        <v>1072</v>
      </c>
      <c r="I964" s="133">
        <v>110</v>
      </c>
      <c r="J964" s="133">
        <v>10551.611824563199</v>
      </c>
      <c r="K964" s="13">
        <f t="shared" si="47"/>
        <v>1160677</v>
      </c>
      <c r="L964" s="113" t="s">
        <v>161</v>
      </c>
      <c r="M964" s="113" t="s">
        <v>159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>x</v>
      </c>
      <c r="Z964" s="564"/>
    </row>
    <row r="965" spans="1:26" ht="15.75" customHeight="1">
      <c r="A965" s="120" t="str">
        <f>IF(B965&lt;&gt;"",IF(AND(B965&gt;=_TM1,B965&lt;=_TM2,OR(TH!L965="1111",TH!M965="1111")),TH!D965,""),"")</f>
        <v/>
      </c>
      <c r="B965" s="12">
        <f t="shared" si="48"/>
        <v>9</v>
      </c>
      <c r="C965" s="105">
        <f t="shared" si="46"/>
        <v>42618</v>
      </c>
      <c r="D965" s="110" t="s">
        <v>1071</v>
      </c>
      <c r="E965" s="474">
        <v>42618</v>
      </c>
      <c r="F965" s="161" t="s">
        <v>650</v>
      </c>
      <c r="G965" s="475" t="s">
        <v>742</v>
      </c>
      <c r="H965" s="112" t="s">
        <v>1072</v>
      </c>
      <c r="I965" s="133">
        <v>110</v>
      </c>
      <c r="J965" s="133">
        <v>7006.9297272489994</v>
      </c>
      <c r="K965" s="13">
        <f t="shared" si="47"/>
        <v>770762</v>
      </c>
      <c r="L965" s="113" t="s">
        <v>161</v>
      </c>
      <c r="M965" s="113" t="s">
        <v>159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>x</v>
      </c>
      <c r="Z965" s="564"/>
    </row>
    <row r="966" spans="1:26" ht="15.75" customHeight="1">
      <c r="A966" s="120" t="str">
        <f>IF(B966&lt;&gt;"",IF(AND(B966&gt;=_TM1,B966&lt;=_TM2,OR(TH!L966="1111",TH!M966="1111")),TH!D966,""),"")</f>
        <v/>
      </c>
      <c r="B966" s="12">
        <f t="shared" si="48"/>
        <v>9</v>
      </c>
      <c r="C966" s="105">
        <f t="shared" si="46"/>
        <v>42618</v>
      </c>
      <c r="D966" s="110" t="s">
        <v>1071</v>
      </c>
      <c r="E966" s="474">
        <v>42618</v>
      </c>
      <c r="F966" s="161" t="s">
        <v>651</v>
      </c>
      <c r="G966" s="475" t="s">
        <v>743</v>
      </c>
      <c r="H966" s="112" t="s">
        <v>1072</v>
      </c>
      <c r="I966" s="133">
        <v>65</v>
      </c>
      <c r="J966" s="133">
        <v>11870.563302633598</v>
      </c>
      <c r="K966" s="13">
        <f t="shared" si="47"/>
        <v>771587</v>
      </c>
      <c r="L966" s="113" t="s">
        <v>161</v>
      </c>
      <c r="M966" s="113" t="s">
        <v>159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>x</v>
      </c>
      <c r="Z966" s="564"/>
    </row>
    <row r="967" spans="1:26" ht="15.75" customHeight="1">
      <c r="A967" s="120" t="str">
        <f>IF(B967&lt;&gt;"",IF(AND(B967&gt;=_TM1,B967&lt;=_TM2,OR(TH!L967="1111",TH!M967="1111")),TH!D967,""),"")</f>
        <v/>
      </c>
      <c r="B967" s="12">
        <f t="shared" si="48"/>
        <v>9</v>
      </c>
      <c r="C967" s="105">
        <f t="shared" si="46"/>
        <v>42618</v>
      </c>
      <c r="D967" s="110" t="s">
        <v>1071</v>
      </c>
      <c r="E967" s="474">
        <v>42618</v>
      </c>
      <c r="F967" s="161" t="s">
        <v>652</v>
      </c>
      <c r="G967" s="475" t="s">
        <v>743</v>
      </c>
      <c r="H967" s="112" t="s">
        <v>1072</v>
      </c>
      <c r="I967" s="133">
        <v>917</v>
      </c>
      <c r="J967" s="133">
        <v>8820.4880095957997</v>
      </c>
      <c r="K967" s="13">
        <f t="shared" si="47"/>
        <v>8088388</v>
      </c>
      <c r="L967" s="113" t="s">
        <v>161</v>
      </c>
      <c r="M967" s="113" t="s">
        <v>159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>x</v>
      </c>
      <c r="Z967" s="564"/>
    </row>
    <row r="968" spans="1:26" ht="15.75" customHeight="1">
      <c r="A968" s="120" t="str">
        <f>IF(B968&lt;&gt;"",IF(AND(B968&gt;=_TM1,B968&lt;=_TM2,OR(TH!L968="1111",TH!M968="1111")),TH!D968,""),"")</f>
        <v/>
      </c>
      <c r="B968" s="12">
        <f t="shared" si="48"/>
        <v>9</v>
      </c>
      <c r="C968" s="105">
        <f t="shared" si="46"/>
        <v>42618</v>
      </c>
      <c r="D968" s="110" t="s">
        <v>1071</v>
      </c>
      <c r="E968" s="474">
        <v>42618</v>
      </c>
      <c r="F968" s="161" t="s">
        <v>498</v>
      </c>
      <c r="G968" s="475" t="s">
        <v>743</v>
      </c>
      <c r="H968" s="112" t="s">
        <v>1072</v>
      </c>
      <c r="I968" s="133">
        <v>72</v>
      </c>
      <c r="J968" s="133">
        <v>10551.611824563199</v>
      </c>
      <c r="K968" s="13">
        <f t="shared" si="47"/>
        <v>759716</v>
      </c>
      <c r="L968" s="113" t="s">
        <v>161</v>
      </c>
      <c r="M968" s="113" t="s">
        <v>159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>x</v>
      </c>
      <c r="Z968" s="564"/>
    </row>
    <row r="969" spans="1:26" ht="15.75" customHeight="1">
      <c r="A969" s="120" t="str">
        <f>IF(B969&lt;&gt;"",IF(AND(B969&gt;=_TM1,B969&lt;=_TM2,OR(TH!L969="1111",TH!M969="1111")),TH!D969,""),"")</f>
        <v/>
      </c>
      <c r="B969" s="12">
        <f t="shared" si="48"/>
        <v>9</v>
      </c>
      <c r="C969" s="105">
        <f t="shared" si="46"/>
        <v>42619</v>
      </c>
      <c r="D969" s="110" t="s">
        <v>1071</v>
      </c>
      <c r="E969" s="474">
        <v>42619</v>
      </c>
      <c r="F969" s="161" t="s">
        <v>508</v>
      </c>
      <c r="G969" s="475" t="s">
        <v>744</v>
      </c>
      <c r="H969" s="112" t="s">
        <v>1072</v>
      </c>
      <c r="I969" s="133">
        <v>1036</v>
      </c>
      <c r="J969" s="133">
        <v>5687.9782491785991</v>
      </c>
      <c r="K969" s="13">
        <f t="shared" si="47"/>
        <v>5892745</v>
      </c>
      <c r="L969" s="113" t="s">
        <v>161</v>
      </c>
      <c r="M969" s="113" t="s">
        <v>159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>x</v>
      </c>
      <c r="Z969" s="564"/>
    </row>
    <row r="970" spans="1:26" ht="15.75" customHeight="1">
      <c r="A970" s="120" t="str">
        <f>IF(B970&lt;&gt;"",IF(AND(B970&gt;=_TM1,B970&lt;=_TM2,OR(TH!L970="1111",TH!M970="1111")),TH!D970,""),"")</f>
        <v/>
      </c>
      <c r="B970" s="12">
        <f t="shared" si="48"/>
        <v>9</v>
      </c>
      <c r="C970" s="105">
        <f t="shared" si="46"/>
        <v>42619</v>
      </c>
      <c r="D970" s="110" t="s">
        <v>1071</v>
      </c>
      <c r="E970" s="474">
        <v>42619</v>
      </c>
      <c r="F970" s="161" t="s">
        <v>662</v>
      </c>
      <c r="G970" s="475" t="s">
        <v>746</v>
      </c>
      <c r="H970" s="112" t="s">
        <v>1072</v>
      </c>
      <c r="I970" s="133">
        <v>212</v>
      </c>
      <c r="J970" s="133">
        <v>7748.8399336635994</v>
      </c>
      <c r="K970" s="13">
        <f t="shared" si="47"/>
        <v>1642754</v>
      </c>
      <c r="L970" s="113" t="s">
        <v>161</v>
      </c>
      <c r="M970" s="113" t="s">
        <v>159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>x</v>
      </c>
      <c r="Z970" s="564"/>
    </row>
    <row r="971" spans="1:26" ht="15.75" customHeight="1">
      <c r="A971" s="120" t="str">
        <f>IF(B971&lt;&gt;"",IF(AND(B971&gt;=_TM1,B971&lt;=_TM2,OR(TH!L971="1111",TH!M971="1111")),TH!D971,""),"")</f>
        <v/>
      </c>
      <c r="B971" s="12">
        <f t="shared" si="48"/>
        <v>9</v>
      </c>
      <c r="C971" s="105">
        <f t="shared" si="46"/>
        <v>42620</v>
      </c>
      <c r="D971" s="110" t="s">
        <v>1071</v>
      </c>
      <c r="E971" s="474">
        <v>42620</v>
      </c>
      <c r="F971" s="161" t="s">
        <v>527</v>
      </c>
      <c r="G971" s="475" t="s">
        <v>748</v>
      </c>
      <c r="H971" s="112" t="s">
        <v>1072</v>
      </c>
      <c r="I971" s="133">
        <v>60</v>
      </c>
      <c r="J971" s="133">
        <v>59764.988850064998</v>
      </c>
      <c r="K971" s="13">
        <f t="shared" si="47"/>
        <v>3585899</v>
      </c>
      <c r="L971" s="113" t="s">
        <v>161</v>
      </c>
      <c r="M971" s="113" t="s">
        <v>159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>x</v>
      </c>
      <c r="Z971" s="564"/>
    </row>
    <row r="972" spans="1:26" ht="15.75" customHeight="1">
      <c r="A972" s="120" t="str">
        <f>IF(B972&lt;&gt;"",IF(AND(B972&gt;=_TM1,B972&lt;=_TM2,OR(TH!L972="1111",TH!M972="1111")),TH!D972,""),"")</f>
        <v/>
      </c>
      <c r="B972" s="12">
        <f t="shared" si="48"/>
        <v>9</v>
      </c>
      <c r="C972" s="105">
        <f t="shared" si="46"/>
        <v>42620</v>
      </c>
      <c r="D972" s="110" t="s">
        <v>1071</v>
      </c>
      <c r="E972" s="474">
        <v>42620</v>
      </c>
      <c r="F972" s="161" t="s">
        <v>664</v>
      </c>
      <c r="G972" s="475" t="s">
        <v>748</v>
      </c>
      <c r="H972" s="112" t="s">
        <v>1072</v>
      </c>
      <c r="I972" s="133">
        <v>20</v>
      </c>
      <c r="J972" s="133">
        <v>69739.559402972402</v>
      </c>
      <c r="K972" s="13">
        <f t="shared" si="47"/>
        <v>1394791</v>
      </c>
      <c r="L972" s="113" t="s">
        <v>161</v>
      </c>
      <c r="M972" s="113" t="s">
        <v>159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>x</v>
      </c>
      <c r="Z972" s="564"/>
    </row>
    <row r="973" spans="1:26" ht="15.75" customHeight="1">
      <c r="A973" s="120" t="str">
        <f>IF(B973&lt;&gt;"",IF(AND(B973&gt;=_TM1,B973&lt;=_TM2,OR(TH!L973="1111",TH!M973="1111")),TH!D973,""),"")</f>
        <v/>
      </c>
      <c r="B973" s="12">
        <f t="shared" si="48"/>
        <v>9</v>
      </c>
      <c r="C973" s="105">
        <f t="shared" si="46"/>
        <v>42621</v>
      </c>
      <c r="D973" s="110" t="s">
        <v>1071</v>
      </c>
      <c r="E973" s="474">
        <v>42621</v>
      </c>
      <c r="F973" s="161" t="s">
        <v>541</v>
      </c>
      <c r="G973" s="475" t="s">
        <v>749</v>
      </c>
      <c r="H973" s="112" t="s">
        <v>1072</v>
      </c>
      <c r="I973" s="133">
        <v>1027</v>
      </c>
      <c r="J973" s="133">
        <v>4616.3301732463997</v>
      </c>
      <c r="K973" s="13">
        <f t="shared" si="47"/>
        <v>4740971</v>
      </c>
      <c r="L973" s="113" t="s">
        <v>161</v>
      </c>
      <c r="M973" s="113" t="s">
        <v>159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>x</v>
      </c>
      <c r="Z973" s="564"/>
    </row>
    <row r="974" spans="1:26" ht="15.75" customHeight="1">
      <c r="A974" s="120" t="str">
        <f>IF(B974&lt;&gt;"",IF(AND(B974&gt;=_TM1,B974&lt;=_TM2,OR(TH!L974="1111",TH!M974="1111")),TH!D974,""),"")</f>
        <v/>
      </c>
      <c r="B974" s="12">
        <f t="shared" si="48"/>
        <v>9</v>
      </c>
      <c r="C974" s="105">
        <f t="shared" si="46"/>
        <v>42621</v>
      </c>
      <c r="D974" s="110" t="s">
        <v>1071</v>
      </c>
      <c r="E974" s="474">
        <v>42621</v>
      </c>
      <c r="F974" s="161" t="s">
        <v>644</v>
      </c>
      <c r="G974" s="475" t="s">
        <v>750</v>
      </c>
      <c r="H974" s="112" t="s">
        <v>1072</v>
      </c>
      <c r="I974" s="133">
        <v>300</v>
      </c>
      <c r="J974" s="133">
        <v>10221.873955045599</v>
      </c>
      <c r="K974" s="13">
        <f t="shared" si="47"/>
        <v>3066562</v>
      </c>
      <c r="L974" s="113" t="s">
        <v>161</v>
      </c>
      <c r="M974" s="113" t="s">
        <v>159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>x</v>
      </c>
      <c r="Z974" s="564"/>
    </row>
    <row r="975" spans="1:26" ht="15.75" customHeight="1">
      <c r="A975" s="120" t="str">
        <f>IF(B975&lt;&gt;"",IF(AND(B975&gt;=_TM1,B975&lt;=_TM2,OR(TH!L975="1111",TH!M975="1111")),TH!D975,""),"")</f>
        <v/>
      </c>
      <c r="B975" s="12">
        <f t="shared" si="48"/>
        <v>9</v>
      </c>
      <c r="C975" s="105">
        <f t="shared" si="46"/>
        <v>42621</v>
      </c>
      <c r="D975" s="110" t="s">
        <v>1071</v>
      </c>
      <c r="E975" s="474">
        <v>42621</v>
      </c>
      <c r="F975" s="161" t="s">
        <v>645</v>
      </c>
      <c r="G975" s="475" t="s">
        <v>750</v>
      </c>
      <c r="H975" s="112" t="s">
        <v>1072</v>
      </c>
      <c r="I975" s="133">
        <v>300</v>
      </c>
      <c r="J975" s="133">
        <v>12530.039041668799</v>
      </c>
      <c r="K975" s="13">
        <f t="shared" si="47"/>
        <v>3759012</v>
      </c>
      <c r="L975" s="113" t="s">
        <v>161</v>
      </c>
      <c r="M975" s="113" t="s">
        <v>159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>x</v>
      </c>
      <c r="Z975" s="564"/>
    </row>
    <row r="976" spans="1:26" ht="15.75" customHeight="1">
      <c r="A976" s="120" t="str">
        <f>IF(B976&lt;&gt;"",IF(AND(B976&gt;=_TM1,B976&lt;=_TM2,OR(TH!L976="1111",TH!M976="1111")),TH!D976,""),"")</f>
        <v/>
      </c>
      <c r="B976" s="12">
        <f t="shared" si="48"/>
        <v>9</v>
      </c>
      <c r="C976" s="105">
        <f t="shared" si="46"/>
        <v>42621</v>
      </c>
      <c r="D976" s="110" t="s">
        <v>1071</v>
      </c>
      <c r="E976" s="474">
        <v>42621</v>
      </c>
      <c r="F976" s="161" t="s">
        <v>648</v>
      </c>
      <c r="G976" s="475" t="s">
        <v>750</v>
      </c>
      <c r="H976" s="112" t="s">
        <v>1072</v>
      </c>
      <c r="I976" s="133">
        <v>300</v>
      </c>
      <c r="J976" s="133">
        <v>8985.3569443546003</v>
      </c>
      <c r="K976" s="13">
        <f t="shared" si="47"/>
        <v>2695607</v>
      </c>
      <c r="L976" s="113" t="s">
        <v>161</v>
      </c>
      <c r="M976" s="113" t="s">
        <v>159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>x</v>
      </c>
      <c r="Z976" s="564"/>
    </row>
    <row r="977" spans="1:26" ht="15.75" customHeight="1">
      <c r="A977" s="120" t="str">
        <f>IF(B977&lt;&gt;"",IF(AND(B977&gt;=_TM1,B977&lt;=_TM2,OR(TH!L977="1111",TH!M977="1111")),TH!D977,""),"")</f>
        <v/>
      </c>
      <c r="B977" s="12">
        <f t="shared" si="48"/>
        <v>9</v>
      </c>
      <c r="C977" s="105">
        <f t="shared" si="46"/>
        <v>42621</v>
      </c>
      <c r="D977" s="110" t="s">
        <v>1071</v>
      </c>
      <c r="E977" s="474">
        <v>42621</v>
      </c>
      <c r="F977" s="161" t="s">
        <v>646</v>
      </c>
      <c r="G977" s="475" t="s">
        <v>750</v>
      </c>
      <c r="H977" s="112" t="s">
        <v>1072</v>
      </c>
      <c r="I977" s="133">
        <v>300</v>
      </c>
      <c r="J977" s="133">
        <v>9974.5705529073985</v>
      </c>
      <c r="K977" s="13">
        <f t="shared" si="47"/>
        <v>2992371</v>
      </c>
      <c r="L977" s="113" t="s">
        <v>161</v>
      </c>
      <c r="M977" s="113" t="s">
        <v>159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>x</v>
      </c>
      <c r="Z977" s="564"/>
    </row>
    <row r="978" spans="1:26" ht="15.75" customHeight="1">
      <c r="A978" s="120" t="str">
        <f>IF(B978&lt;&gt;"",IF(AND(B978&gt;=_TM1,B978&lt;=_TM2,OR(TH!L978="1111",TH!M978="1111")),TH!D978,""),"")</f>
        <v/>
      </c>
      <c r="B978" s="12">
        <f t="shared" si="48"/>
        <v>9</v>
      </c>
      <c r="C978" s="105">
        <f t="shared" si="46"/>
        <v>42621</v>
      </c>
      <c r="D978" s="110" t="s">
        <v>1071</v>
      </c>
      <c r="E978" s="474">
        <v>42621</v>
      </c>
      <c r="F978" s="161" t="s">
        <v>647</v>
      </c>
      <c r="G978" s="475" t="s">
        <v>750</v>
      </c>
      <c r="H978" s="112" t="s">
        <v>1072</v>
      </c>
      <c r="I978" s="133">
        <v>300</v>
      </c>
      <c r="J978" s="133">
        <v>10963.7841614602</v>
      </c>
      <c r="K978" s="13">
        <f t="shared" si="47"/>
        <v>3289135</v>
      </c>
      <c r="L978" s="113" t="s">
        <v>161</v>
      </c>
      <c r="M978" s="113" t="s">
        <v>159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>x</v>
      </c>
      <c r="Z978" s="564"/>
    </row>
    <row r="979" spans="1:26" ht="15.75" customHeight="1">
      <c r="A979" s="120" t="str">
        <f>IF(B979&lt;&gt;"",IF(AND(B979&gt;=_TM1,B979&lt;=_TM2,OR(TH!L979="1111",TH!M979="1111")),TH!D979,""),"")</f>
        <v/>
      </c>
      <c r="B979" s="12">
        <f t="shared" si="48"/>
        <v>9</v>
      </c>
      <c r="C979" s="105">
        <f t="shared" si="46"/>
        <v>42624</v>
      </c>
      <c r="D979" s="110" t="s">
        <v>1071</v>
      </c>
      <c r="E979" s="474">
        <v>42624</v>
      </c>
      <c r="F979" s="161" t="s">
        <v>543</v>
      </c>
      <c r="G979" s="475" t="s">
        <v>751</v>
      </c>
      <c r="H979" s="112" t="s">
        <v>1072</v>
      </c>
      <c r="I979" s="133">
        <v>10520</v>
      </c>
      <c r="J979" s="133">
        <v>6759.6263251107994</v>
      </c>
      <c r="K979" s="13">
        <f t="shared" si="47"/>
        <v>71111269</v>
      </c>
      <c r="L979" s="113" t="s">
        <v>161</v>
      </c>
      <c r="M979" s="113" t="s">
        <v>159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>x</v>
      </c>
      <c r="Z979" s="564"/>
    </row>
    <row r="980" spans="1:26" ht="15.75" customHeight="1">
      <c r="A980" s="120" t="str">
        <f>IF(B980&lt;&gt;"",IF(AND(B980&gt;=_TM1,B980&lt;=_TM2,OR(TH!L980="1111",TH!M980="1111")),TH!D980,""),"")</f>
        <v/>
      </c>
      <c r="B980" s="12">
        <f t="shared" si="48"/>
        <v>9</v>
      </c>
      <c r="C980" s="105">
        <f t="shared" si="46"/>
        <v>42626</v>
      </c>
      <c r="D980" s="110" t="s">
        <v>1071</v>
      </c>
      <c r="E980" s="474">
        <v>42626</v>
      </c>
      <c r="F980" s="161" t="s">
        <v>662</v>
      </c>
      <c r="G980" s="475" t="s">
        <v>752</v>
      </c>
      <c r="H980" s="112" t="s">
        <v>1072</v>
      </c>
      <c r="I980" s="133">
        <v>210</v>
      </c>
      <c r="J980" s="133">
        <v>7748.8399336635994</v>
      </c>
      <c r="K980" s="13">
        <f t="shared" si="47"/>
        <v>1627256</v>
      </c>
      <c r="L980" s="113" t="s">
        <v>161</v>
      </c>
      <c r="M980" s="113" t="s">
        <v>159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>x</v>
      </c>
      <c r="Z980" s="564"/>
    </row>
    <row r="981" spans="1:26" ht="15.75" customHeight="1">
      <c r="A981" s="120" t="str">
        <f>IF(B981&lt;&gt;"",IF(AND(B981&gt;=_TM1,B981&lt;=_TM2,OR(TH!L981="1111",TH!M981="1111")),TH!D981,""),"")</f>
        <v/>
      </c>
      <c r="B981" s="12">
        <f t="shared" si="48"/>
        <v>9</v>
      </c>
      <c r="C981" s="105">
        <f t="shared" si="46"/>
        <v>42626</v>
      </c>
      <c r="D981" s="110" t="s">
        <v>1071</v>
      </c>
      <c r="E981" s="474">
        <v>42626</v>
      </c>
      <c r="F981" s="161" t="s">
        <v>663</v>
      </c>
      <c r="G981" s="475" t="s">
        <v>752</v>
      </c>
      <c r="H981" s="112" t="s">
        <v>1072</v>
      </c>
      <c r="I981" s="133">
        <v>200</v>
      </c>
      <c r="J981" s="133">
        <v>7089.3641946283997</v>
      </c>
      <c r="K981" s="13">
        <f t="shared" si="47"/>
        <v>1417873</v>
      </c>
      <c r="L981" s="113" t="s">
        <v>161</v>
      </c>
      <c r="M981" s="113" t="s">
        <v>159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>x</v>
      </c>
      <c r="Z981" s="564"/>
    </row>
    <row r="982" spans="1:26" ht="15.75" customHeight="1">
      <c r="A982" s="120" t="str">
        <f>IF(B982&lt;&gt;"",IF(AND(B982&gt;=_TM1,B982&lt;=_TM2,OR(TH!L982="1111",TH!M982="1111")),TH!D982,""),"")</f>
        <v/>
      </c>
      <c r="B982" s="12">
        <f t="shared" si="48"/>
        <v>9</v>
      </c>
      <c r="C982" s="105">
        <f t="shared" si="46"/>
        <v>42626</v>
      </c>
      <c r="D982" s="110" t="s">
        <v>1071</v>
      </c>
      <c r="E982" s="474">
        <v>42626</v>
      </c>
      <c r="F982" s="161" t="s">
        <v>661</v>
      </c>
      <c r="G982" s="475" t="s">
        <v>752</v>
      </c>
      <c r="H982" s="112" t="s">
        <v>1072</v>
      </c>
      <c r="I982" s="133">
        <v>171</v>
      </c>
      <c r="J982" s="133">
        <v>8985.3569443546003</v>
      </c>
      <c r="K982" s="13">
        <f t="shared" si="47"/>
        <v>1536496</v>
      </c>
      <c r="L982" s="113" t="s">
        <v>161</v>
      </c>
      <c r="M982" s="113" t="s">
        <v>159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>x</v>
      </c>
      <c r="Z982" s="564"/>
    </row>
    <row r="983" spans="1:26" ht="15.75" customHeight="1">
      <c r="A983" s="120" t="str">
        <f>IF(B983&lt;&gt;"",IF(AND(B983&gt;=_TM1,B983&lt;=_TM2,OR(TH!L983="1111",TH!M983="1111")),TH!D983,""),"")</f>
        <v/>
      </c>
      <c r="B983" s="12">
        <f t="shared" si="48"/>
        <v>9</v>
      </c>
      <c r="C983" s="105">
        <f t="shared" si="46"/>
        <v>42627</v>
      </c>
      <c r="D983" s="110" t="s">
        <v>1071</v>
      </c>
      <c r="E983" s="474">
        <v>42627</v>
      </c>
      <c r="F983" s="161" t="s">
        <v>815</v>
      </c>
      <c r="G983" s="475" t="s">
        <v>753</v>
      </c>
      <c r="H983" s="112" t="s">
        <v>1072</v>
      </c>
      <c r="I983" s="133">
        <v>2400</v>
      </c>
      <c r="J983" s="133">
        <v>3214.9442277966</v>
      </c>
      <c r="K983" s="13">
        <f t="shared" si="47"/>
        <v>7715866</v>
      </c>
      <c r="L983" s="113" t="s">
        <v>161</v>
      </c>
      <c r="M983" s="113" t="s">
        <v>159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>x</v>
      </c>
      <c r="Z983" s="564"/>
    </row>
    <row r="984" spans="1:26" ht="15.75" customHeight="1">
      <c r="A984" s="120" t="str">
        <f>IF(B984&lt;&gt;"",IF(AND(B984&gt;=_TM1,B984&lt;=_TM2,OR(TH!L984="1111",TH!M984="1111")),TH!D984,""),"")</f>
        <v/>
      </c>
      <c r="B984" s="12">
        <f t="shared" si="48"/>
        <v>9</v>
      </c>
      <c r="C984" s="105">
        <f t="shared" si="46"/>
        <v>42627</v>
      </c>
      <c r="D984" s="110" t="s">
        <v>1071</v>
      </c>
      <c r="E984" s="474">
        <v>42627</v>
      </c>
      <c r="F984" s="161" t="s">
        <v>816</v>
      </c>
      <c r="G984" s="475" t="s">
        <v>753</v>
      </c>
      <c r="H984" s="112" t="s">
        <v>1072</v>
      </c>
      <c r="I984" s="133">
        <v>500</v>
      </c>
      <c r="J984" s="133">
        <v>6594.7573903519997</v>
      </c>
      <c r="K984" s="13">
        <f t="shared" si="47"/>
        <v>3297379</v>
      </c>
      <c r="L984" s="113" t="s">
        <v>161</v>
      </c>
      <c r="M984" s="113" t="s">
        <v>159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>x</v>
      </c>
      <c r="Z984" s="564"/>
    </row>
    <row r="985" spans="1:26" ht="15.75" customHeight="1">
      <c r="A985" s="120" t="str">
        <f>IF(B985&lt;&gt;"",IF(AND(B985&gt;=_TM1,B985&lt;=_TM2,OR(TH!L985="1111",TH!M985="1111")),TH!D985,""),"")</f>
        <v/>
      </c>
      <c r="B985" s="12">
        <f t="shared" si="48"/>
        <v>9</v>
      </c>
      <c r="C985" s="105">
        <f t="shared" si="46"/>
        <v>42628</v>
      </c>
      <c r="D985" s="110" t="s">
        <v>1071</v>
      </c>
      <c r="E985" s="474">
        <v>42628</v>
      </c>
      <c r="F985" s="161" t="s">
        <v>518</v>
      </c>
      <c r="G985" s="475" t="s">
        <v>754</v>
      </c>
      <c r="H985" s="112" t="s">
        <v>1072</v>
      </c>
      <c r="I985" s="133">
        <v>1820</v>
      </c>
      <c r="J985" s="133">
        <v>6759.6263251107994</v>
      </c>
      <c r="K985" s="13">
        <f t="shared" si="47"/>
        <v>12302520</v>
      </c>
      <c r="L985" s="113" t="s">
        <v>161</v>
      </c>
      <c r="M985" s="113" t="s">
        <v>159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>x</v>
      </c>
      <c r="Z985" s="564"/>
    </row>
    <row r="986" spans="1:26" ht="15.75" customHeight="1">
      <c r="A986" s="120" t="str">
        <f>IF(B986&lt;&gt;"",IF(AND(B986&gt;=_TM1,B986&lt;=_TM2,OR(TH!L986="1111",TH!M986="1111")),TH!D986,""),"")</f>
        <v/>
      </c>
      <c r="B986" s="12">
        <f t="shared" si="48"/>
        <v>9</v>
      </c>
      <c r="C986" s="105">
        <f t="shared" si="46"/>
        <v>42628</v>
      </c>
      <c r="D986" s="110" t="s">
        <v>1071</v>
      </c>
      <c r="E986" s="474">
        <v>42628</v>
      </c>
      <c r="F986" s="161" t="s">
        <v>544</v>
      </c>
      <c r="G986" s="475" t="s">
        <v>754</v>
      </c>
      <c r="H986" s="112" t="s">
        <v>1072</v>
      </c>
      <c r="I986" s="133">
        <v>620</v>
      </c>
      <c r="J986" s="133">
        <v>7501.5365315253994</v>
      </c>
      <c r="K986" s="13">
        <f t="shared" si="47"/>
        <v>4650953</v>
      </c>
      <c r="L986" s="113" t="s">
        <v>161</v>
      </c>
      <c r="M986" s="113" t="s">
        <v>159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>x</v>
      </c>
      <c r="Z986" s="564"/>
    </row>
    <row r="987" spans="1:26" ht="15.75" customHeight="1">
      <c r="A987" s="120" t="str">
        <f>IF(B987&lt;&gt;"",IF(AND(B987&gt;=_TM1,B987&lt;=_TM2,OR(TH!L987="1111",TH!M987="1111")),TH!D987,""),"")</f>
        <v/>
      </c>
      <c r="B987" s="12">
        <f t="shared" si="48"/>
        <v>9</v>
      </c>
      <c r="C987" s="105">
        <f t="shared" si="46"/>
        <v>42628</v>
      </c>
      <c r="D987" s="110" t="s">
        <v>1071</v>
      </c>
      <c r="E987" s="474">
        <v>42628</v>
      </c>
      <c r="F987" s="161" t="s">
        <v>545</v>
      </c>
      <c r="G987" s="475" t="s">
        <v>754</v>
      </c>
      <c r="H987" s="112" t="s">
        <v>1072</v>
      </c>
      <c r="I987" s="133">
        <v>304</v>
      </c>
      <c r="J987" s="133">
        <v>6677.1918577314</v>
      </c>
      <c r="K987" s="13">
        <f t="shared" si="47"/>
        <v>2029866</v>
      </c>
      <c r="L987" s="113" t="s">
        <v>161</v>
      </c>
      <c r="M987" s="113" t="s">
        <v>159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>x</v>
      </c>
      <c r="Z987" s="564"/>
    </row>
    <row r="988" spans="1:26" ht="15.75" customHeight="1">
      <c r="A988" s="120" t="str">
        <f>IF(B988&lt;&gt;"",IF(AND(B988&gt;=_TM1,B988&lt;=_TM2,OR(TH!L988="1111",TH!M988="1111")),TH!D988,""),"")</f>
        <v/>
      </c>
      <c r="B988" s="12">
        <f t="shared" si="48"/>
        <v>9</v>
      </c>
      <c r="C988" s="105">
        <f t="shared" si="46"/>
        <v>42628</v>
      </c>
      <c r="D988" s="110" t="s">
        <v>1071</v>
      </c>
      <c r="E988" s="474">
        <v>42628</v>
      </c>
      <c r="F988" s="161" t="s">
        <v>546</v>
      </c>
      <c r="G988" s="475" t="s">
        <v>754</v>
      </c>
      <c r="H988" s="112" t="s">
        <v>1072</v>
      </c>
      <c r="I988" s="133">
        <v>316</v>
      </c>
      <c r="J988" s="133">
        <v>7419.102064146</v>
      </c>
      <c r="K988" s="13">
        <f t="shared" si="47"/>
        <v>2344436</v>
      </c>
      <c r="L988" s="113" t="s">
        <v>161</v>
      </c>
      <c r="M988" s="113" t="s">
        <v>159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>x</v>
      </c>
      <c r="Z988" s="564"/>
    </row>
    <row r="989" spans="1:26" ht="15.75" customHeight="1">
      <c r="A989" s="120" t="str">
        <f>IF(B989&lt;&gt;"",IF(AND(B989&gt;=_TM1,B989&lt;=_TM2,OR(TH!L989="1111",TH!M989="1111")),TH!D989,""),"")</f>
        <v/>
      </c>
      <c r="B989" s="12">
        <f t="shared" si="48"/>
        <v>9</v>
      </c>
      <c r="C989" s="105">
        <f t="shared" si="46"/>
        <v>42635</v>
      </c>
      <c r="D989" s="110" t="s">
        <v>1071</v>
      </c>
      <c r="E989" s="474">
        <v>42635</v>
      </c>
      <c r="F989" s="161" t="s">
        <v>513</v>
      </c>
      <c r="G989" s="475" t="s">
        <v>755</v>
      </c>
      <c r="H989" s="112" t="s">
        <v>1072</v>
      </c>
      <c r="I989" s="133">
        <v>300</v>
      </c>
      <c r="J989" s="133">
        <v>7831.2744010429988</v>
      </c>
      <c r="K989" s="13">
        <f t="shared" si="47"/>
        <v>2349382</v>
      </c>
      <c r="L989" s="113" t="s">
        <v>161</v>
      </c>
      <c r="M989" s="113" t="s">
        <v>159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>x</v>
      </c>
      <c r="Z989" s="564"/>
    </row>
    <row r="990" spans="1:26" ht="15.75" customHeight="1">
      <c r="A990" s="120" t="str">
        <f>IF(B990&lt;&gt;"",IF(AND(B990&gt;=_TM1,B990&lt;=_TM2,OR(TH!L990="1111",TH!M990="1111")),TH!D990,""),"")</f>
        <v/>
      </c>
      <c r="B990" s="12">
        <f t="shared" si="48"/>
        <v>9</v>
      </c>
      <c r="C990" s="105">
        <f t="shared" ref="C990:C1023" si="49">E990</f>
        <v>42639</v>
      </c>
      <c r="D990" s="110" t="s">
        <v>1071</v>
      </c>
      <c r="E990" s="474">
        <v>42639</v>
      </c>
      <c r="F990" s="161" t="s">
        <v>547</v>
      </c>
      <c r="G990" s="475" t="s">
        <v>756</v>
      </c>
      <c r="H990" s="112" t="s">
        <v>1072</v>
      </c>
      <c r="I990" s="133">
        <v>109</v>
      </c>
      <c r="J990" s="133">
        <v>4451.4612384876</v>
      </c>
      <c r="K990" s="13">
        <f t="shared" si="47"/>
        <v>485209</v>
      </c>
      <c r="L990" s="113" t="s">
        <v>161</v>
      </c>
      <c r="M990" s="113" t="s">
        <v>159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>x</v>
      </c>
      <c r="Z990" s="564"/>
    </row>
    <row r="991" spans="1:26" ht="15.75" customHeight="1">
      <c r="A991" s="120" t="str">
        <f>IF(B991&lt;&gt;"",IF(AND(B991&gt;=_TM1,B991&lt;=_TM2,OR(TH!L991="1111",TH!M991="1111")),TH!D991,""),"")</f>
        <v/>
      </c>
      <c r="B991" s="12">
        <f t="shared" si="48"/>
        <v>9</v>
      </c>
      <c r="C991" s="105">
        <f t="shared" si="49"/>
        <v>42639</v>
      </c>
      <c r="D991" s="110" t="s">
        <v>1071</v>
      </c>
      <c r="E991" s="474">
        <v>42639</v>
      </c>
      <c r="F991" s="161" t="s">
        <v>548</v>
      </c>
      <c r="G991" s="475" t="s">
        <v>756</v>
      </c>
      <c r="H991" s="112" t="s">
        <v>1072</v>
      </c>
      <c r="I991" s="133">
        <v>102</v>
      </c>
      <c r="J991" s="133">
        <v>5110.9369775227997</v>
      </c>
      <c r="K991" s="13">
        <f t="shared" si="47"/>
        <v>521316</v>
      </c>
      <c r="L991" s="113" t="s">
        <v>161</v>
      </c>
      <c r="M991" s="113" t="s">
        <v>159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>x</v>
      </c>
      <c r="Z991" s="564"/>
    </row>
    <row r="992" spans="1:26" ht="15.75" customHeight="1">
      <c r="A992" s="120" t="str">
        <f>IF(B992&lt;&gt;"",IF(AND(B992&gt;=_TM1,B992&lt;=_TM2,OR(TH!L992="1111",TH!M992="1111")),TH!D992,""),"")</f>
        <v/>
      </c>
      <c r="B992" s="12">
        <f t="shared" si="48"/>
        <v>9</v>
      </c>
      <c r="C992" s="105">
        <f t="shared" si="49"/>
        <v>42639</v>
      </c>
      <c r="D992" s="110" t="s">
        <v>1071</v>
      </c>
      <c r="E992" s="474">
        <v>42639</v>
      </c>
      <c r="F992" s="161" t="s">
        <v>661</v>
      </c>
      <c r="G992" s="475" t="s">
        <v>756</v>
      </c>
      <c r="H992" s="112" t="s">
        <v>1072</v>
      </c>
      <c r="I992" s="133">
        <v>56</v>
      </c>
      <c r="J992" s="133">
        <v>8985.3569443546003</v>
      </c>
      <c r="K992" s="13">
        <f t="shared" si="47"/>
        <v>503180</v>
      </c>
      <c r="L992" s="113" t="s">
        <v>161</v>
      </c>
      <c r="M992" s="113" t="s">
        <v>159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>x</v>
      </c>
      <c r="Z992" s="564"/>
    </row>
    <row r="993" spans="1:26" ht="15.75" customHeight="1">
      <c r="A993" s="120" t="str">
        <f>IF(B993&lt;&gt;"",IF(AND(B993&gt;=_TM1,B993&lt;=_TM2,OR(TH!L993="1111",TH!M993="1111")),TH!D993,""),"")</f>
        <v/>
      </c>
      <c r="B993" s="12">
        <f t="shared" si="48"/>
        <v>9</v>
      </c>
      <c r="C993" s="105">
        <f t="shared" si="49"/>
        <v>42640</v>
      </c>
      <c r="D993" s="110" t="s">
        <v>1071</v>
      </c>
      <c r="E993" s="474">
        <v>42640</v>
      </c>
      <c r="F993" s="161" t="s">
        <v>498</v>
      </c>
      <c r="G993" s="475" t="s">
        <v>757</v>
      </c>
      <c r="H993" s="112" t="s">
        <v>1072</v>
      </c>
      <c r="I993" s="133">
        <v>533</v>
      </c>
      <c r="J993" s="133">
        <v>10551.611824563199</v>
      </c>
      <c r="K993" s="13">
        <f t="shared" si="47"/>
        <v>5624009</v>
      </c>
      <c r="L993" s="113" t="s">
        <v>161</v>
      </c>
      <c r="M993" s="113" t="s">
        <v>159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>x</v>
      </c>
      <c r="Z993" s="564"/>
    </row>
    <row r="994" spans="1:26" ht="15.75" customHeight="1">
      <c r="A994" s="120" t="str">
        <f>IF(B994&lt;&gt;"",IF(AND(B994&gt;=_TM1,B994&lt;=_TM2,OR(TH!L994="1111",TH!M994="1111")),TH!D994,""),"")</f>
        <v/>
      </c>
      <c r="B994" s="12">
        <f t="shared" si="48"/>
        <v>9</v>
      </c>
      <c r="C994" s="105">
        <f t="shared" si="49"/>
        <v>42640</v>
      </c>
      <c r="D994" s="110" t="s">
        <v>1071</v>
      </c>
      <c r="E994" s="474">
        <v>42640</v>
      </c>
      <c r="F994" s="161" t="s">
        <v>498</v>
      </c>
      <c r="G994" s="475" t="s">
        <v>758</v>
      </c>
      <c r="H994" s="112" t="s">
        <v>1072</v>
      </c>
      <c r="I994" s="133">
        <v>156</v>
      </c>
      <c r="J994" s="133">
        <v>10551.611824563199</v>
      </c>
      <c r="K994" s="13">
        <f t="shared" si="47"/>
        <v>1646051</v>
      </c>
      <c r="L994" s="113" t="s">
        <v>161</v>
      </c>
      <c r="M994" s="113" t="s">
        <v>159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>x</v>
      </c>
      <c r="Z994" s="564"/>
    </row>
    <row r="995" spans="1:26" ht="15.75" customHeight="1">
      <c r="A995" s="120" t="str">
        <f>IF(B995&lt;&gt;"",IF(AND(B995&gt;=_TM1,B995&lt;=_TM2,OR(TH!L995="1111",TH!M995="1111")),TH!D995,""),"")</f>
        <v/>
      </c>
      <c r="B995" s="12">
        <f t="shared" si="48"/>
        <v>9</v>
      </c>
      <c r="C995" s="105">
        <f t="shared" si="49"/>
        <v>42640</v>
      </c>
      <c r="D995" s="110" t="s">
        <v>1071</v>
      </c>
      <c r="E995" s="474">
        <v>42640</v>
      </c>
      <c r="F995" s="161" t="s">
        <v>652</v>
      </c>
      <c r="G995" s="475" t="s">
        <v>758</v>
      </c>
      <c r="H995" s="112" t="s">
        <v>1072</v>
      </c>
      <c r="I995" s="133">
        <v>2520</v>
      </c>
      <c r="J995" s="133">
        <v>8820.4880095957997</v>
      </c>
      <c r="K995" s="13">
        <f t="shared" si="47"/>
        <v>22227630</v>
      </c>
      <c r="L995" s="113" t="s">
        <v>161</v>
      </c>
      <c r="M995" s="113" t="s">
        <v>159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>x</v>
      </c>
      <c r="Z995" s="564"/>
    </row>
    <row r="996" spans="1:26" ht="15.75" customHeight="1">
      <c r="A996" s="120" t="str">
        <f>IF(B996&lt;&gt;"",IF(AND(B996&gt;=_TM1,B996&lt;=_TM2,OR(TH!L996="1111",TH!M996="1111")),TH!D996,""),"")</f>
        <v/>
      </c>
      <c r="B996" s="12">
        <f t="shared" si="48"/>
        <v>9</v>
      </c>
      <c r="C996" s="105">
        <f t="shared" si="49"/>
        <v>42640</v>
      </c>
      <c r="D996" s="110" t="s">
        <v>1071</v>
      </c>
      <c r="E996" s="474">
        <v>42640</v>
      </c>
      <c r="F996" s="161" t="s">
        <v>653</v>
      </c>
      <c r="G996" s="475" t="s">
        <v>758</v>
      </c>
      <c r="H996" s="112" t="s">
        <v>1072</v>
      </c>
      <c r="I996" s="133">
        <v>44</v>
      </c>
      <c r="J996" s="133">
        <v>12777.342443807</v>
      </c>
      <c r="K996" s="13">
        <f t="shared" si="47"/>
        <v>562203</v>
      </c>
      <c r="L996" s="113" t="s">
        <v>161</v>
      </c>
      <c r="M996" s="113" t="s">
        <v>159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>x</v>
      </c>
      <c r="Z996" s="564"/>
    </row>
    <row r="997" spans="1:26" ht="15.75" customHeight="1">
      <c r="A997" s="120" t="str">
        <f>IF(B997&lt;&gt;"",IF(AND(B997&gt;=_TM1,B997&lt;=_TM2,OR(TH!L997="1111",TH!M997="1111")),TH!D997,""),"")</f>
        <v/>
      </c>
      <c r="B997" s="12">
        <f t="shared" si="48"/>
        <v>9</v>
      </c>
      <c r="C997" s="105">
        <f t="shared" si="49"/>
        <v>42641</v>
      </c>
      <c r="D997" s="110" t="s">
        <v>1071</v>
      </c>
      <c r="E997" s="474">
        <v>42641</v>
      </c>
      <c r="F997" s="161" t="s">
        <v>509</v>
      </c>
      <c r="G997" s="475" t="s">
        <v>429</v>
      </c>
      <c r="H997" s="112" t="s">
        <v>1072</v>
      </c>
      <c r="I997" s="133">
        <v>211</v>
      </c>
      <c r="J997" s="133">
        <v>11046.218628839601</v>
      </c>
      <c r="K997" s="13">
        <f t="shared" si="47"/>
        <v>2330752</v>
      </c>
      <c r="L997" s="113" t="s">
        <v>161</v>
      </c>
      <c r="M997" s="113" t="s">
        <v>159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>x</v>
      </c>
      <c r="Z997" s="563"/>
    </row>
    <row r="998" spans="1:26" ht="15.75" customHeight="1">
      <c r="A998" s="120" t="str">
        <f>IF(B998&lt;&gt;"",IF(AND(B998&gt;=_TM1,B998&lt;=_TM2,OR(TH!L998="1111",TH!M998="1111")),TH!D998,""),"")</f>
        <v/>
      </c>
      <c r="B998" s="542">
        <f t="shared" si="48"/>
        <v>10</v>
      </c>
      <c r="C998" s="543">
        <f t="shared" si="49"/>
        <v>42647</v>
      </c>
      <c r="D998" s="544" t="s">
        <v>1071</v>
      </c>
      <c r="E998" s="595">
        <v>42647</v>
      </c>
      <c r="F998" s="599" t="s">
        <v>800</v>
      </c>
      <c r="G998" s="597" t="s">
        <v>799</v>
      </c>
      <c r="H998" s="598" t="s">
        <v>1072</v>
      </c>
      <c r="I998" s="548">
        <v>423</v>
      </c>
      <c r="J998" s="548">
        <v>5706.4898215078556</v>
      </c>
      <c r="K998" s="551">
        <f t="shared" ref="K998:K1061" si="50">ROUND(I998*J998,0)</f>
        <v>2413845</v>
      </c>
      <c r="L998" s="556" t="s">
        <v>161</v>
      </c>
      <c r="M998" s="556" t="s">
        <v>159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/>
      </c>
      <c r="Z998" s="565"/>
    </row>
    <row r="999" spans="1:26" ht="15.75" customHeight="1">
      <c r="A999" s="120" t="str">
        <f>IF(B999&lt;&gt;"",IF(AND(B999&gt;=_TM1,B999&lt;=_TM2,OR(TH!L999="1111",TH!M999="1111")),TH!D999,""),"")</f>
        <v/>
      </c>
      <c r="B999" s="12">
        <f t="shared" si="48"/>
        <v>10</v>
      </c>
      <c r="C999" s="105">
        <f t="shared" si="49"/>
        <v>42647</v>
      </c>
      <c r="D999" s="110" t="s">
        <v>1071</v>
      </c>
      <c r="E999" s="472">
        <v>42647</v>
      </c>
      <c r="F999" s="161" t="s">
        <v>802</v>
      </c>
      <c r="G999" s="473" t="s">
        <v>801</v>
      </c>
      <c r="H999" s="112" t="s">
        <v>1072</v>
      </c>
      <c r="I999" s="133">
        <v>943</v>
      </c>
      <c r="J999" s="133">
        <v>5402.1436976941031</v>
      </c>
      <c r="K999" s="13">
        <f t="shared" si="50"/>
        <v>5094222</v>
      </c>
      <c r="L999" s="113" t="s">
        <v>161</v>
      </c>
      <c r="M999" s="113" t="s">
        <v>159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/>
      </c>
      <c r="Z999" s="563"/>
    </row>
    <row r="1000" spans="1:26" ht="15.75" customHeight="1">
      <c r="A1000" s="120" t="str">
        <f>IF(B1000&lt;&gt;"",IF(AND(B1000&gt;=_TM1,B1000&lt;=_TM2,OR(TH!L1000="1111",TH!M1000="1111")),TH!D1000,""),"")</f>
        <v/>
      </c>
      <c r="B1000" s="12">
        <f t="shared" ref="B1000:B1063" si="51">IF(C1000&lt;&gt;"",MONTH(C1000),"")</f>
        <v>10</v>
      </c>
      <c r="C1000" s="105">
        <f t="shared" si="49"/>
        <v>42647</v>
      </c>
      <c r="D1000" s="110" t="s">
        <v>1071</v>
      </c>
      <c r="E1000" s="472">
        <v>42647</v>
      </c>
      <c r="F1000" s="161" t="s">
        <v>803</v>
      </c>
      <c r="G1000" s="473" t="s">
        <v>801</v>
      </c>
      <c r="H1000" s="112" t="s">
        <v>1072</v>
      </c>
      <c r="I1000" s="133">
        <v>270</v>
      </c>
      <c r="J1000" s="133">
        <v>6543.4416619956746</v>
      </c>
      <c r="K1000" s="13">
        <f t="shared" si="50"/>
        <v>1766729</v>
      </c>
      <c r="L1000" s="113" t="s">
        <v>161</v>
      </c>
      <c r="M1000" s="113" t="s">
        <v>159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/>
      </c>
      <c r="Z1000" s="563"/>
    </row>
    <row r="1001" spans="1:26" ht="15.75" customHeight="1">
      <c r="A1001" s="120" t="str">
        <f>IF(B1001&lt;&gt;"",IF(AND(B1001&gt;=_TM1,B1001&lt;=_TM2,OR(TH!L1001="1111",TH!M1001="1111")),TH!D1001,""),"")</f>
        <v/>
      </c>
      <c r="B1001" s="12">
        <f t="shared" si="51"/>
        <v>10</v>
      </c>
      <c r="C1001" s="105">
        <f t="shared" si="49"/>
        <v>42648</v>
      </c>
      <c r="D1001" s="110" t="s">
        <v>1071</v>
      </c>
      <c r="E1001" s="472">
        <v>42648</v>
      </c>
      <c r="F1001" s="161" t="s">
        <v>805</v>
      </c>
      <c r="G1001" s="473" t="s">
        <v>804</v>
      </c>
      <c r="H1001" s="112" t="s">
        <v>1072</v>
      </c>
      <c r="I1001" s="133">
        <v>305</v>
      </c>
      <c r="J1001" s="133">
        <v>7076.0473786697412</v>
      </c>
      <c r="K1001" s="13">
        <f t="shared" si="50"/>
        <v>2158194</v>
      </c>
      <c r="L1001" s="113" t="s">
        <v>161</v>
      </c>
      <c r="M1001" s="113" t="s">
        <v>159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/>
      </c>
      <c r="Z1001" s="563"/>
    </row>
    <row r="1002" spans="1:26" ht="15.75" customHeight="1">
      <c r="A1002" s="120" t="str">
        <f>IF(B1002&lt;&gt;"",IF(AND(B1002&gt;=_TM1,B1002&lt;=_TM2,OR(TH!L1002="1111",TH!M1002="1111")),TH!D1002,""),"")</f>
        <v/>
      </c>
      <c r="B1002" s="12">
        <f t="shared" si="51"/>
        <v>10</v>
      </c>
      <c r="C1002" s="105">
        <f t="shared" si="49"/>
        <v>42648</v>
      </c>
      <c r="D1002" s="110" t="s">
        <v>1071</v>
      </c>
      <c r="E1002" s="472">
        <v>42648</v>
      </c>
      <c r="F1002" s="161" t="s">
        <v>806</v>
      </c>
      <c r="G1002" s="473" t="s">
        <v>804</v>
      </c>
      <c r="H1002" s="112" t="s">
        <v>1072</v>
      </c>
      <c r="I1002" s="133">
        <v>55</v>
      </c>
      <c r="J1002" s="133">
        <v>6847.7877858094271</v>
      </c>
      <c r="K1002" s="13">
        <f t="shared" si="50"/>
        <v>376628</v>
      </c>
      <c r="L1002" s="113" t="s">
        <v>161</v>
      </c>
      <c r="M1002" s="113" t="s">
        <v>159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/>
      </c>
      <c r="Z1002" s="563"/>
    </row>
    <row r="1003" spans="1:26" ht="15.75" customHeight="1">
      <c r="A1003" s="120" t="str">
        <f>IF(B1003&lt;&gt;"",IF(AND(B1003&gt;=_TM1,B1003&lt;=_TM2,OR(TH!L1003="1111",TH!M1003="1111")),TH!D1003,""),"")</f>
        <v/>
      </c>
      <c r="B1003" s="12">
        <f t="shared" si="51"/>
        <v>10</v>
      </c>
      <c r="C1003" s="105">
        <f t="shared" si="49"/>
        <v>42648</v>
      </c>
      <c r="D1003" s="110" t="s">
        <v>1071</v>
      </c>
      <c r="E1003" s="472">
        <v>42648</v>
      </c>
      <c r="F1003" s="161" t="s">
        <v>807</v>
      </c>
      <c r="G1003" s="473" t="s">
        <v>804</v>
      </c>
      <c r="H1003" s="112" t="s">
        <v>1072</v>
      </c>
      <c r="I1003" s="491">
        <v>205</v>
      </c>
      <c r="J1003" s="133">
        <v>2358.6824595565804</v>
      </c>
      <c r="K1003" s="13">
        <f t="shared" si="50"/>
        <v>483530</v>
      </c>
      <c r="L1003" s="113" t="s">
        <v>161</v>
      </c>
      <c r="M1003" s="113" t="s">
        <v>159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/>
      </c>
      <c r="Z1003" s="563"/>
    </row>
    <row r="1004" spans="1:26" ht="15.75" customHeight="1">
      <c r="A1004" s="120" t="str">
        <f>IF(B1004&lt;&gt;"",IF(AND(B1004&gt;=_TM1,B1004&lt;=_TM2,OR(TH!L1004="1111",TH!M1004="1111")),TH!D1004,""),"")</f>
        <v/>
      </c>
      <c r="B1004" s="542">
        <f t="shared" si="51"/>
        <v>10</v>
      </c>
      <c r="C1004" s="105">
        <f t="shared" si="49"/>
        <v>42648</v>
      </c>
      <c r="D1004" s="110" t="s">
        <v>1071</v>
      </c>
      <c r="E1004" s="472">
        <v>42648</v>
      </c>
      <c r="F1004" s="161" t="s">
        <v>518</v>
      </c>
      <c r="G1004" s="473" t="s">
        <v>808</v>
      </c>
      <c r="H1004" s="112" t="s">
        <v>1072</v>
      </c>
      <c r="I1004" s="136">
        <v>320</v>
      </c>
      <c r="J1004" s="136">
        <v>6239.0955381819222</v>
      </c>
      <c r="K1004" s="13">
        <f t="shared" si="50"/>
        <v>1996511</v>
      </c>
      <c r="L1004" s="113" t="s">
        <v>161</v>
      </c>
      <c r="M1004" s="113" t="s">
        <v>159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/>
      </c>
      <c r="Z1004" s="563"/>
    </row>
    <row r="1005" spans="1:26" ht="15.75" customHeight="1">
      <c r="A1005" s="120" t="str">
        <f>IF(B1005&lt;&gt;"",IF(AND(B1005&gt;=_TM1,B1005&lt;=_TM2,OR(TH!L1005="1111",TH!M1005="1111")),TH!D1005,""),"")</f>
        <v/>
      </c>
      <c r="B1005" s="12">
        <f t="shared" si="51"/>
        <v>10</v>
      </c>
      <c r="C1005" s="105">
        <f t="shared" si="49"/>
        <v>42648</v>
      </c>
      <c r="D1005" s="110" t="s">
        <v>1071</v>
      </c>
      <c r="E1005" s="472">
        <v>42648</v>
      </c>
      <c r="F1005" s="161" t="s">
        <v>520</v>
      </c>
      <c r="G1005" s="473" t="s">
        <v>808</v>
      </c>
      <c r="H1005" s="112" t="s">
        <v>1072</v>
      </c>
      <c r="I1005" s="136">
        <v>659</v>
      </c>
      <c r="J1005" s="136">
        <v>12021.671890643216</v>
      </c>
      <c r="K1005" s="13">
        <f t="shared" si="50"/>
        <v>7922282</v>
      </c>
      <c r="L1005" s="113" t="s">
        <v>161</v>
      </c>
      <c r="M1005" s="113" t="s">
        <v>159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/>
      </c>
      <c r="Z1005" s="563"/>
    </row>
    <row r="1006" spans="1:26" ht="15.75" customHeight="1">
      <c r="A1006" s="120" t="str">
        <f>IF(B1006&lt;&gt;"",IF(AND(B1006&gt;=_TM1,B1006&lt;=_TM2,OR(TH!L1006="1111",TH!M1006="1111")),TH!D1006,""),"")</f>
        <v/>
      </c>
      <c r="B1006" s="12">
        <f t="shared" si="51"/>
        <v>10</v>
      </c>
      <c r="C1006" s="105">
        <f t="shared" si="49"/>
        <v>42649</v>
      </c>
      <c r="D1006" s="110" t="s">
        <v>1071</v>
      </c>
      <c r="E1006" s="472">
        <v>42649</v>
      </c>
      <c r="F1006" s="161" t="s">
        <v>524</v>
      </c>
      <c r="G1006" s="473" t="s">
        <v>434</v>
      </c>
      <c r="H1006" s="112" t="s">
        <v>1072</v>
      </c>
      <c r="I1006" s="133">
        <v>400</v>
      </c>
      <c r="J1006" s="133">
        <v>14304.267819246357</v>
      </c>
      <c r="K1006" s="13">
        <f t="shared" si="50"/>
        <v>5721707</v>
      </c>
      <c r="L1006" s="113" t="s">
        <v>161</v>
      </c>
      <c r="M1006" s="113" t="s">
        <v>159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/>
      </c>
      <c r="Z1006" s="563"/>
    </row>
    <row r="1007" spans="1:26" ht="15.75" customHeight="1">
      <c r="A1007" s="120" t="str">
        <f>IF(B1007&lt;&gt;"",IF(AND(B1007&gt;=_TM1,B1007&lt;=_TM2,OR(TH!L1007="1111",TH!M1007="1111")),TH!D1007,""),"")</f>
        <v/>
      </c>
      <c r="B1007" s="12">
        <f t="shared" si="51"/>
        <v>10</v>
      </c>
      <c r="C1007" s="105">
        <f t="shared" si="49"/>
        <v>42660</v>
      </c>
      <c r="D1007" s="110" t="s">
        <v>1071</v>
      </c>
      <c r="E1007" s="472">
        <v>42660</v>
      </c>
      <c r="F1007" s="161" t="s">
        <v>672</v>
      </c>
      <c r="G1007" s="473" t="s">
        <v>759</v>
      </c>
      <c r="H1007" s="112" t="s">
        <v>1072</v>
      </c>
      <c r="I1007" s="133">
        <v>1800</v>
      </c>
      <c r="J1007" s="133">
        <v>9206.4702453660066</v>
      </c>
      <c r="K1007" s="13">
        <f t="shared" si="50"/>
        <v>16571646</v>
      </c>
      <c r="L1007" s="113" t="s">
        <v>161</v>
      </c>
      <c r="M1007" s="113" t="s">
        <v>159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/>
      </c>
      <c r="Z1007" s="563"/>
    </row>
    <row r="1008" spans="1:26" ht="15.75" customHeight="1">
      <c r="A1008" s="120" t="str">
        <f>IF(B1008&lt;&gt;"",IF(AND(B1008&gt;=_TM1,B1008&lt;=_TM2,OR(TH!L1008="1111",TH!M1008="1111")),TH!D1008,""),"")</f>
        <v/>
      </c>
      <c r="B1008" s="12">
        <f t="shared" si="51"/>
        <v>10</v>
      </c>
      <c r="C1008" s="105">
        <f t="shared" si="49"/>
        <v>42660</v>
      </c>
      <c r="D1008" s="110" t="s">
        <v>1071</v>
      </c>
      <c r="E1008" s="472">
        <v>42660</v>
      </c>
      <c r="F1008" s="161" t="s">
        <v>671</v>
      </c>
      <c r="G1008" s="473" t="s">
        <v>759</v>
      </c>
      <c r="H1008" s="112" t="s">
        <v>1072</v>
      </c>
      <c r="I1008" s="133">
        <v>26</v>
      </c>
      <c r="J1008" s="133">
        <v>8217.3453429713136</v>
      </c>
      <c r="K1008" s="13">
        <f t="shared" si="50"/>
        <v>213651</v>
      </c>
      <c r="L1008" s="113" t="s">
        <v>161</v>
      </c>
      <c r="M1008" s="113" t="s">
        <v>159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/>
      </c>
      <c r="Z1008" s="563"/>
    </row>
    <row r="1009" spans="1:26" ht="15.75" customHeight="1">
      <c r="A1009" s="120" t="str">
        <f>IF(B1009&lt;&gt;"",IF(AND(B1009&gt;=_TM1,B1009&lt;=_TM2,OR(TH!L1009="1111",TH!M1009="1111")),TH!D1009,""),"")</f>
        <v/>
      </c>
      <c r="B1009" s="12">
        <f t="shared" si="51"/>
        <v>10</v>
      </c>
      <c r="C1009" s="105">
        <f t="shared" si="49"/>
        <v>42662</v>
      </c>
      <c r="D1009" s="110" t="s">
        <v>1071</v>
      </c>
      <c r="E1009" s="472">
        <v>42662</v>
      </c>
      <c r="F1009" s="161" t="s">
        <v>665</v>
      </c>
      <c r="G1009" s="473" t="s">
        <v>760</v>
      </c>
      <c r="H1009" s="112" t="s">
        <v>1072</v>
      </c>
      <c r="I1009" s="134">
        <v>520</v>
      </c>
      <c r="J1009" s="134">
        <v>5858.6628834147323</v>
      </c>
      <c r="K1009" s="13">
        <f t="shared" si="50"/>
        <v>3046505</v>
      </c>
      <c r="L1009" s="113" t="s">
        <v>161</v>
      </c>
      <c r="M1009" s="113" t="s">
        <v>159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/>
      </c>
      <c r="Z1009" s="563"/>
    </row>
    <row r="1010" spans="1:26" ht="15.75" customHeight="1">
      <c r="A1010" s="120" t="str">
        <f>IF(B1010&lt;&gt;"",IF(AND(B1010&gt;=_TM1,B1010&lt;=_TM2,OR(TH!L1010="1111",TH!M1010="1111")),TH!D1010,""),"")</f>
        <v/>
      </c>
      <c r="B1010" s="12">
        <f t="shared" si="51"/>
        <v>10</v>
      </c>
      <c r="C1010" s="105">
        <f t="shared" si="49"/>
        <v>42662</v>
      </c>
      <c r="D1010" s="110" t="s">
        <v>1071</v>
      </c>
      <c r="E1010" s="472">
        <v>42662</v>
      </c>
      <c r="F1010" s="161" t="s">
        <v>524</v>
      </c>
      <c r="G1010" s="473" t="s">
        <v>760</v>
      </c>
      <c r="H1010" s="112" t="s">
        <v>1072</v>
      </c>
      <c r="I1010" s="133">
        <v>100</v>
      </c>
      <c r="J1010" s="133">
        <v>14304.267819246357</v>
      </c>
      <c r="K1010" s="13">
        <f t="shared" si="50"/>
        <v>1430427</v>
      </c>
      <c r="L1010" s="113" t="s">
        <v>161</v>
      </c>
      <c r="M1010" s="113" t="s">
        <v>159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/>
      </c>
      <c r="Z1010" s="563"/>
    </row>
    <row r="1011" spans="1:26" ht="15.75" customHeight="1">
      <c r="A1011" s="120" t="str">
        <f>IF(B1011&lt;&gt;"",IF(AND(B1011&gt;=_TM1,B1011&lt;=_TM2,OR(TH!L1011="1111",TH!M1011="1111")),TH!D1011,""),"")</f>
        <v/>
      </c>
      <c r="B1011" s="12">
        <f t="shared" si="51"/>
        <v>10</v>
      </c>
      <c r="C1011" s="105">
        <f t="shared" si="49"/>
        <v>42672</v>
      </c>
      <c r="D1011" s="110" t="s">
        <v>1071</v>
      </c>
      <c r="E1011" s="472">
        <v>42672</v>
      </c>
      <c r="F1011" s="161" t="s">
        <v>666</v>
      </c>
      <c r="G1011" s="473" t="s">
        <v>761</v>
      </c>
      <c r="H1011" s="112" t="s">
        <v>1072</v>
      </c>
      <c r="I1011" s="133">
        <v>36</v>
      </c>
      <c r="J1011" s="133">
        <v>10347.76820966758</v>
      </c>
      <c r="K1011" s="13">
        <f t="shared" si="50"/>
        <v>372520</v>
      </c>
      <c r="L1011" s="113" t="s">
        <v>161</v>
      </c>
      <c r="M1011" s="113" t="s">
        <v>159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/>
      </c>
      <c r="Z1011" s="563"/>
    </row>
    <row r="1012" spans="1:26" ht="15.75" customHeight="1">
      <c r="A1012" s="120" t="str">
        <f>IF(B1012&lt;&gt;"",IF(AND(B1012&gt;=_TM1,B1012&lt;=_TM2,OR(TH!L1012="1111",TH!M1012="1111")),TH!D1012,""),"")</f>
        <v/>
      </c>
      <c r="B1012" s="12">
        <f t="shared" si="51"/>
        <v>10</v>
      </c>
      <c r="C1012" s="105">
        <f t="shared" si="49"/>
        <v>42672</v>
      </c>
      <c r="D1012" s="110" t="s">
        <v>1071</v>
      </c>
      <c r="E1012" s="472">
        <v>42672</v>
      </c>
      <c r="F1012" s="161" t="s">
        <v>653</v>
      </c>
      <c r="G1012" s="473" t="s">
        <v>761</v>
      </c>
      <c r="H1012" s="112" t="s">
        <v>1072</v>
      </c>
      <c r="I1012" s="133">
        <v>110</v>
      </c>
      <c r="J1012" s="133">
        <v>11793.412297782903</v>
      </c>
      <c r="K1012" s="13">
        <f t="shared" si="50"/>
        <v>1297275</v>
      </c>
      <c r="L1012" s="113" t="s">
        <v>161</v>
      </c>
      <c r="M1012" s="113" t="s">
        <v>159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/>
      </c>
      <c r="Z1012" s="563"/>
    </row>
    <row r="1013" spans="1:26" ht="15.75" customHeight="1">
      <c r="A1013" s="120" t="str">
        <f>IF(B1013&lt;&gt;"",IF(AND(B1013&gt;=_TM1,B1013&lt;=_TM2,OR(TH!L1013="1111",TH!M1013="1111")),TH!D1013,""),"")</f>
        <v/>
      </c>
      <c r="B1013" s="12">
        <f t="shared" si="51"/>
        <v>10</v>
      </c>
      <c r="C1013" s="105">
        <f t="shared" si="49"/>
        <v>42672</v>
      </c>
      <c r="D1013" s="110" t="s">
        <v>1071</v>
      </c>
      <c r="E1013" s="472">
        <v>42672</v>
      </c>
      <c r="F1013" s="161" t="s">
        <v>667</v>
      </c>
      <c r="G1013" s="473" t="s">
        <v>761</v>
      </c>
      <c r="H1013" s="112" t="s">
        <v>1072</v>
      </c>
      <c r="I1013" s="133">
        <v>111</v>
      </c>
      <c r="J1013" s="133">
        <v>7912.9992191575602</v>
      </c>
      <c r="K1013" s="13">
        <f t="shared" si="50"/>
        <v>878343</v>
      </c>
      <c r="L1013" s="113" t="s">
        <v>161</v>
      </c>
      <c r="M1013" s="113" t="s">
        <v>159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/>
      </c>
      <c r="Z1013" s="563"/>
    </row>
    <row r="1014" spans="1:26" ht="15.75" customHeight="1">
      <c r="A1014" s="120" t="str">
        <f>IF(B1014&lt;&gt;"",IF(AND(B1014&gt;=_TM1,B1014&lt;=_TM2,OR(TH!L1014="1111",TH!M1014="1111")),TH!D1014,""),"")</f>
        <v/>
      </c>
      <c r="B1014" s="12">
        <f t="shared" si="51"/>
        <v>10</v>
      </c>
      <c r="C1014" s="105">
        <f t="shared" si="49"/>
        <v>42672</v>
      </c>
      <c r="D1014" s="110" t="s">
        <v>1071</v>
      </c>
      <c r="E1014" s="472">
        <v>42672</v>
      </c>
      <c r="F1014" s="161" t="s">
        <v>668</v>
      </c>
      <c r="G1014" s="473" t="s">
        <v>761</v>
      </c>
      <c r="H1014" s="112" t="s">
        <v>1072</v>
      </c>
      <c r="I1014" s="133">
        <v>18</v>
      </c>
      <c r="J1014" s="133">
        <v>12097.758421596654</v>
      </c>
      <c r="K1014" s="13">
        <f t="shared" si="50"/>
        <v>217760</v>
      </c>
      <c r="L1014" s="113" t="s">
        <v>161</v>
      </c>
      <c r="M1014" s="113" t="s">
        <v>159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/>
      </c>
      <c r="Z1014" s="563"/>
    </row>
    <row r="1015" spans="1:26" ht="15.75" customHeight="1">
      <c r="A1015" s="120" t="str">
        <f>IF(B1015&lt;&gt;"",IF(AND(B1015&gt;=_TM1,B1015&lt;=_TM2,OR(TH!L1015="1111",TH!M1015="1111")),TH!D1015,""),"")</f>
        <v/>
      </c>
      <c r="B1015" s="12">
        <f t="shared" si="51"/>
        <v>10</v>
      </c>
      <c r="C1015" s="105">
        <f t="shared" si="49"/>
        <v>42672</v>
      </c>
      <c r="D1015" s="110" t="s">
        <v>1071</v>
      </c>
      <c r="E1015" s="472">
        <v>42672</v>
      </c>
      <c r="F1015" s="161" t="s">
        <v>498</v>
      </c>
      <c r="G1015" s="473" t="s">
        <v>761</v>
      </c>
      <c r="H1015" s="112" t="s">
        <v>1072</v>
      </c>
      <c r="I1015" s="133">
        <v>52</v>
      </c>
      <c r="J1015" s="133">
        <v>9739.075962040075</v>
      </c>
      <c r="K1015" s="13">
        <f t="shared" si="50"/>
        <v>506432</v>
      </c>
      <c r="L1015" s="113" t="s">
        <v>161</v>
      </c>
      <c r="M1015" s="113" t="s">
        <v>159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/>
      </c>
      <c r="Z1015" s="563"/>
    </row>
    <row r="1016" spans="1:26" ht="15.75" customHeight="1">
      <c r="A1016" s="120" t="str">
        <f>IF(B1016&lt;&gt;"",IF(AND(B1016&gt;=_TM1,B1016&lt;=_TM2,OR(TH!L1016="1111",TH!M1016="1111")),TH!D1016,""),"")</f>
        <v/>
      </c>
      <c r="B1016" s="12">
        <f t="shared" si="51"/>
        <v>10</v>
      </c>
      <c r="C1016" s="105">
        <f t="shared" si="49"/>
        <v>42672</v>
      </c>
      <c r="D1016" s="110" t="s">
        <v>1071</v>
      </c>
      <c r="E1016" s="472">
        <v>42672</v>
      </c>
      <c r="F1016" s="161" t="s">
        <v>498</v>
      </c>
      <c r="G1016" s="473" t="s">
        <v>762</v>
      </c>
      <c r="H1016" s="112" t="s">
        <v>1072</v>
      </c>
      <c r="I1016" s="133">
        <v>206</v>
      </c>
      <c r="J1016" s="133">
        <v>9739.075962040075</v>
      </c>
      <c r="K1016" s="13">
        <f t="shared" si="50"/>
        <v>2006250</v>
      </c>
      <c r="L1016" s="113" t="s">
        <v>161</v>
      </c>
      <c r="M1016" s="113" t="s">
        <v>159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/>
      </c>
      <c r="Z1016" s="563"/>
    </row>
    <row r="1017" spans="1:26" ht="15.75" customHeight="1">
      <c r="A1017" s="120" t="str">
        <f>IF(B1017&lt;&gt;"",IF(AND(B1017&gt;=_TM1,B1017&lt;=_TM2,OR(TH!L1017="1111",TH!M1017="1111")),TH!D1017,""),"")</f>
        <v/>
      </c>
      <c r="B1017" s="12">
        <f t="shared" si="51"/>
        <v>10</v>
      </c>
      <c r="C1017" s="105">
        <f t="shared" si="49"/>
        <v>42672</v>
      </c>
      <c r="D1017" s="110" t="s">
        <v>1071</v>
      </c>
      <c r="E1017" s="472">
        <v>42672</v>
      </c>
      <c r="F1017" s="161" t="s">
        <v>669</v>
      </c>
      <c r="G1017" s="473" t="s">
        <v>762</v>
      </c>
      <c r="H1017" s="112" t="s">
        <v>1072</v>
      </c>
      <c r="I1017" s="133">
        <v>330</v>
      </c>
      <c r="J1017" s="133">
        <v>6923.8743167628654</v>
      </c>
      <c r="K1017" s="13">
        <f t="shared" si="50"/>
        <v>2284879</v>
      </c>
      <c r="L1017" s="113" t="s">
        <v>161</v>
      </c>
      <c r="M1017" s="113" t="s">
        <v>159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/>
      </c>
      <c r="Z1017" s="563"/>
    </row>
    <row r="1018" spans="1:26" ht="15.75" customHeight="1">
      <c r="A1018" s="120" t="str">
        <f>IF(B1018&lt;&gt;"",IF(AND(B1018&gt;=_TM1,B1018&lt;=_TM2,OR(TH!L1018="1111",TH!M1018="1111")),TH!D1018,""),"")</f>
        <v/>
      </c>
      <c r="B1018" s="12">
        <f t="shared" si="51"/>
        <v>10</v>
      </c>
      <c r="C1018" s="105">
        <f t="shared" si="49"/>
        <v>42672</v>
      </c>
      <c r="D1018" s="110" t="s">
        <v>1071</v>
      </c>
      <c r="E1018" s="472">
        <v>42672</v>
      </c>
      <c r="F1018" s="161" t="s">
        <v>670</v>
      </c>
      <c r="G1018" s="473" t="s">
        <v>762</v>
      </c>
      <c r="H1018" s="112" t="s">
        <v>1072</v>
      </c>
      <c r="I1018" s="133">
        <v>23</v>
      </c>
      <c r="J1018" s="133">
        <v>8597.7779977385017</v>
      </c>
      <c r="K1018" s="13">
        <f t="shared" si="50"/>
        <v>197749</v>
      </c>
      <c r="L1018" s="113" t="s">
        <v>161</v>
      </c>
      <c r="M1018" s="113" t="s">
        <v>159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/>
      </c>
      <c r="Z1018" s="563"/>
    </row>
    <row r="1019" spans="1:26" ht="15.75" customHeight="1">
      <c r="A1019" s="120" t="str">
        <f>IF(B1019&lt;&gt;"",IF(AND(B1019&gt;=_TM1,B1019&lt;=_TM2,OR(TH!L1019="1111",TH!M1019="1111")),TH!D1019,""),"")</f>
        <v/>
      </c>
      <c r="B1019" s="12">
        <f t="shared" si="51"/>
        <v>10</v>
      </c>
      <c r="C1019" s="105">
        <f t="shared" si="49"/>
        <v>42672</v>
      </c>
      <c r="D1019" s="110" t="s">
        <v>1071</v>
      </c>
      <c r="E1019" s="472">
        <v>42672</v>
      </c>
      <c r="F1019" s="161" t="s">
        <v>671</v>
      </c>
      <c r="G1019" s="473" t="s">
        <v>762</v>
      </c>
      <c r="H1019" s="112" t="s">
        <v>1072</v>
      </c>
      <c r="I1019" s="133">
        <v>55</v>
      </c>
      <c r="J1019" s="133">
        <v>8217.3453429713136</v>
      </c>
      <c r="K1019" s="13">
        <f t="shared" si="50"/>
        <v>451954</v>
      </c>
      <c r="L1019" s="113" t="s">
        <v>161</v>
      </c>
      <c r="M1019" s="113" t="s">
        <v>159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/>
      </c>
      <c r="Z1019" s="563"/>
    </row>
    <row r="1020" spans="1:26" ht="15.75" customHeight="1">
      <c r="A1020" s="120" t="str">
        <f>IF(B1020&lt;&gt;"",IF(AND(B1020&gt;=_TM1,B1020&lt;=_TM2,OR(TH!L1020="1111",TH!M1020="1111")),TH!D1020,""),"")</f>
        <v/>
      </c>
      <c r="B1020" s="12">
        <f t="shared" si="51"/>
        <v>10</v>
      </c>
      <c r="C1020" s="105">
        <f t="shared" si="49"/>
        <v>42672</v>
      </c>
      <c r="D1020" s="110" t="s">
        <v>1071</v>
      </c>
      <c r="E1020" s="472">
        <v>42672</v>
      </c>
      <c r="F1020" s="161" t="s">
        <v>672</v>
      </c>
      <c r="G1020" s="473" t="s">
        <v>763</v>
      </c>
      <c r="H1020" s="112" t="s">
        <v>1072</v>
      </c>
      <c r="I1020" s="133">
        <v>210</v>
      </c>
      <c r="J1020" s="133">
        <v>9206.4702453660066</v>
      </c>
      <c r="K1020" s="13">
        <f t="shared" si="50"/>
        <v>1933359</v>
      </c>
      <c r="L1020" s="113" t="s">
        <v>161</v>
      </c>
      <c r="M1020" s="113" t="s">
        <v>159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/>
      </c>
      <c r="Z1020" s="563"/>
    </row>
    <row r="1021" spans="1:26" ht="15.75" customHeight="1">
      <c r="A1021" s="120" t="str">
        <f>IF(B1021&lt;&gt;"",IF(AND(B1021&gt;=_TM1,B1021&lt;=_TM2,OR(TH!L1021="1111",TH!M1021="1111")),TH!D1021,""),"")</f>
        <v/>
      </c>
      <c r="B1021" s="12">
        <f t="shared" si="51"/>
        <v>10</v>
      </c>
      <c r="C1021" s="105">
        <f t="shared" si="49"/>
        <v>42672</v>
      </c>
      <c r="D1021" s="110" t="s">
        <v>1071</v>
      </c>
      <c r="E1021" s="472">
        <v>42672</v>
      </c>
      <c r="F1021" s="161" t="s">
        <v>673</v>
      </c>
      <c r="G1021" s="473" t="s">
        <v>763</v>
      </c>
      <c r="H1021" s="112" t="s">
        <v>1072</v>
      </c>
      <c r="I1021" s="133">
        <v>160</v>
      </c>
      <c r="J1021" s="133">
        <v>13315.142916851664</v>
      </c>
      <c r="K1021" s="13">
        <f t="shared" si="50"/>
        <v>2130423</v>
      </c>
      <c r="L1021" s="113" t="s">
        <v>161</v>
      </c>
      <c r="M1021" s="113" t="s">
        <v>159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/>
      </c>
      <c r="Z1021" s="563"/>
    </row>
    <row r="1022" spans="1:26" ht="15.75" customHeight="1">
      <c r="A1022" s="120" t="str">
        <f>IF(B1022&lt;&gt;"",IF(AND(B1022&gt;=_TM1,B1022&lt;=_TM2,OR(TH!L1022="1111",TH!M1022="1111")),TH!D1022,""),"")</f>
        <v/>
      </c>
      <c r="B1022" s="12">
        <f t="shared" si="51"/>
        <v>10</v>
      </c>
      <c r="C1022" s="105">
        <f t="shared" si="49"/>
        <v>42672</v>
      </c>
      <c r="D1022" s="110" t="s">
        <v>1071</v>
      </c>
      <c r="E1022" s="472">
        <v>42672</v>
      </c>
      <c r="F1022" s="161" t="s">
        <v>498</v>
      </c>
      <c r="G1022" s="473" t="s">
        <v>763</v>
      </c>
      <c r="H1022" s="112" t="s">
        <v>1072</v>
      </c>
      <c r="I1022" s="133">
        <v>160</v>
      </c>
      <c r="J1022" s="133">
        <v>9739.075962040075</v>
      </c>
      <c r="K1022" s="13">
        <f t="shared" si="50"/>
        <v>1558252</v>
      </c>
      <c r="L1022" s="113" t="s">
        <v>161</v>
      </c>
      <c r="M1022" s="113" t="s">
        <v>159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/>
      </c>
      <c r="Z1022" s="563"/>
    </row>
    <row r="1023" spans="1:26" ht="15.75" customHeight="1">
      <c r="A1023" s="120" t="str">
        <f>IF(B1023&lt;&gt;"",IF(AND(B1023&gt;=_TM1,B1023&lt;=_TM2,OR(TH!L1023="1111",TH!M1023="1111")),TH!D1023,""),"")</f>
        <v/>
      </c>
      <c r="B1023" s="12">
        <f t="shared" si="51"/>
        <v>10</v>
      </c>
      <c r="C1023" s="105">
        <f t="shared" si="49"/>
        <v>42672</v>
      </c>
      <c r="D1023" s="110" t="s">
        <v>1071</v>
      </c>
      <c r="E1023" s="472">
        <v>42672</v>
      </c>
      <c r="F1023" s="161" t="s">
        <v>674</v>
      </c>
      <c r="G1023" s="473" t="s">
        <v>763</v>
      </c>
      <c r="H1023" s="112" t="s">
        <v>1072</v>
      </c>
      <c r="I1023" s="133">
        <v>160</v>
      </c>
      <c r="J1023" s="133">
        <v>8217.3453429713136</v>
      </c>
      <c r="K1023" s="13">
        <f t="shared" si="50"/>
        <v>1314775</v>
      </c>
      <c r="L1023" s="113" t="s">
        <v>161</v>
      </c>
      <c r="M1023" s="113" t="s">
        <v>159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/>
      </c>
      <c r="Z1023" s="563"/>
    </row>
    <row r="1024" spans="1:26" ht="15.75" customHeight="1">
      <c r="A1024" s="120" t="str">
        <f>IF(B1024&lt;&gt;"",IF(AND(B1024&gt;=_TM1,B1024&lt;=_TM2,OR(TH!L1024="1111",TH!M1024="1111")),TH!D1024,""),"")</f>
        <v/>
      </c>
      <c r="B1024" s="12">
        <f t="shared" si="51"/>
        <v>10</v>
      </c>
      <c r="C1024" s="105">
        <f t="shared" ref="C1024:C1087" si="52">E1024</f>
        <v>42672</v>
      </c>
      <c r="D1024" s="110" t="s">
        <v>1071</v>
      </c>
      <c r="E1024" s="472">
        <v>42672</v>
      </c>
      <c r="F1024" s="161" t="s">
        <v>675</v>
      </c>
      <c r="G1024" s="473" t="s">
        <v>763</v>
      </c>
      <c r="H1024" s="112" t="s">
        <v>1072</v>
      </c>
      <c r="I1024" s="133">
        <v>103</v>
      </c>
      <c r="J1024" s="133">
        <v>9510.8163691797599</v>
      </c>
      <c r="K1024" s="13">
        <f t="shared" si="50"/>
        <v>979614</v>
      </c>
      <c r="L1024" s="113" t="s">
        <v>161</v>
      </c>
      <c r="M1024" s="113" t="s">
        <v>159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/>
      </c>
      <c r="Z1024" s="563"/>
    </row>
    <row r="1025" spans="1:26" ht="15.75" customHeight="1">
      <c r="A1025" s="120" t="str">
        <f>IF(B1025&lt;&gt;"",IF(AND(B1025&gt;=_TM1,B1025&lt;=_TM2,OR(TH!L1025="1111",TH!M1025="1111")),TH!D1025,""),"")</f>
        <v/>
      </c>
      <c r="B1025" s="12">
        <f t="shared" si="51"/>
        <v>10</v>
      </c>
      <c r="C1025" s="105">
        <f t="shared" si="52"/>
        <v>42672</v>
      </c>
      <c r="D1025" s="110" t="s">
        <v>1071</v>
      </c>
      <c r="E1025" s="472">
        <v>42672</v>
      </c>
      <c r="F1025" s="161" t="s">
        <v>676</v>
      </c>
      <c r="G1025" s="473" t="s">
        <v>763</v>
      </c>
      <c r="H1025" s="112" t="s">
        <v>1072</v>
      </c>
      <c r="I1025" s="133">
        <v>7</v>
      </c>
      <c r="J1025" s="133">
        <v>10423.854740621018</v>
      </c>
      <c r="K1025" s="13">
        <f t="shared" si="50"/>
        <v>72967</v>
      </c>
      <c r="L1025" s="113" t="s">
        <v>161</v>
      </c>
      <c r="M1025" s="113" t="s">
        <v>159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/>
      </c>
      <c r="Z1025" s="563"/>
    </row>
    <row r="1026" spans="1:26" ht="15.75" customHeight="1">
      <c r="A1026" s="120" t="str">
        <f>IF(B1026&lt;&gt;"",IF(AND(B1026&gt;=_TM1,B1026&lt;=_TM2,OR(TH!L1026="1111",TH!M1026="1111")),TH!D1026,""),"")</f>
        <v/>
      </c>
      <c r="B1026" s="12">
        <f t="shared" si="51"/>
        <v>10</v>
      </c>
      <c r="C1026" s="105">
        <f t="shared" si="52"/>
        <v>42672</v>
      </c>
      <c r="D1026" s="110" t="s">
        <v>1071</v>
      </c>
      <c r="E1026" s="472">
        <v>42672</v>
      </c>
      <c r="F1026" s="161" t="s">
        <v>677</v>
      </c>
      <c r="G1026" s="473" t="s">
        <v>763</v>
      </c>
      <c r="H1026" s="112" t="s">
        <v>1072</v>
      </c>
      <c r="I1026" s="133">
        <v>105</v>
      </c>
      <c r="J1026" s="133">
        <v>7989.0857501109986</v>
      </c>
      <c r="K1026" s="13">
        <f t="shared" si="50"/>
        <v>838854</v>
      </c>
      <c r="L1026" s="113" t="s">
        <v>161</v>
      </c>
      <c r="M1026" s="113" t="s">
        <v>159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/>
      </c>
      <c r="Z1026" s="563"/>
    </row>
    <row r="1027" spans="1:26" ht="15.75" customHeight="1">
      <c r="A1027" s="120" t="str">
        <f>IF(B1027&lt;&gt;"",IF(AND(B1027&gt;=_TM1,B1027&lt;=_TM2,OR(TH!L1027="1111",TH!M1027="1111")),TH!D1027,""),"")</f>
        <v/>
      </c>
      <c r="B1027" s="12">
        <f t="shared" si="51"/>
        <v>10</v>
      </c>
      <c r="C1027" s="105">
        <f t="shared" si="52"/>
        <v>42672</v>
      </c>
      <c r="D1027" s="110" t="s">
        <v>1071</v>
      </c>
      <c r="E1027" s="472">
        <v>42672</v>
      </c>
      <c r="F1027" s="161" t="s">
        <v>678</v>
      </c>
      <c r="G1027" s="473" t="s">
        <v>763</v>
      </c>
      <c r="H1027" s="112" t="s">
        <v>1072</v>
      </c>
      <c r="I1027" s="133">
        <v>110</v>
      </c>
      <c r="J1027" s="133">
        <v>8597.7779977385017</v>
      </c>
      <c r="K1027" s="13">
        <f t="shared" si="50"/>
        <v>945756</v>
      </c>
      <c r="L1027" s="113" t="s">
        <v>161</v>
      </c>
      <c r="M1027" s="113" t="s">
        <v>159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/>
      </c>
      <c r="Z1027" s="563"/>
    </row>
    <row r="1028" spans="1:26" ht="15.75" customHeight="1">
      <c r="A1028" s="120" t="str">
        <f>IF(B1028&lt;&gt;"",IF(AND(B1028&gt;=_TM1,B1028&lt;=_TM2,OR(TH!L1028="1111",TH!M1028="1111")),TH!D1028,""),"")</f>
        <v/>
      </c>
      <c r="B1028" s="12">
        <f t="shared" si="51"/>
        <v>11</v>
      </c>
      <c r="C1028" s="105">
        <f t="shared" si="52"/>
        <v>42682</v>
      </c>
      <c r="D1028" s="110" t="s">
        <v>1071</v>
      </c>
      <c r="E1028" s="472">
        <v>42682</v>
      </c>
      <c r="F1028" s="161" t="s">
        <v>500</v>
      </c>
      <c r="G1028" s="473" t="s">
        <v>764</v>
      </c>
      <c r="H1028" s="112" t="s">
        <v>1072</v>
      </c>
      <c r="I1028" s="134">
        <v>300</v>
      </c>
      <c r="J1028" s="134">
        <v>8673.86452869194</v>
      </c>
      <c r="K1028" s="13">
        <f t="shared" si="50"/>
        <v>2602159</v>
      </c>
      <c r="L1028" s="113" t="s">
        <v>161</v>
      </c>
      <c r="M1028" s="113" t="s">
        <v>159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/>
      </c>
      <c r="Z1028" s="563"/>
    </row>
    <row r="1029" spans="1:26" ht="15.75" customHeight="1">
      <c r="A1029" s="120" t="str">
        <f>IF(B1029&lt;&gt;"",IF(AND(B1029&gt;=_TM1,B1029&lt;=_TM2,OR(TH!L1029="1111",TH!M1029="1111")),TH!D1029,""),"")</f>
        <v/>
      </c>
      <c r="B1029" s="12">
        <f t="shared" si="51"/>
        <v>11</v>
      </c>
      <c r="C1029" s="105">
        <f t="shared" si="52"/>
        <v>42682</v>
      </c>
      <c r="D1029" s="110" t="s">
        <v>1071</v>
      </c>
      <c r="E1029" s="472">
        <v>42682</v>
      </c>
      <c r="F1029" s="161" t="s">
        <v>500</v>
      </c>
      <c r="G1029" s="473" t="s">
        <v>764</v>
      </c>
      <c r="H1029" s="112" t="s">
        <v>1072</v>
      </c>
      <c r="I1029" s="133">
        <v>2000</v>
      </c>
      <c r="J1029" s="133">
        <v>8673.86452869194</v>
      </c>
      <c r="K1029" s="13">
        <f t="shared" si="50"/>
        <v>17347729</v>
      </c>
      <c r="L1029" s="113" t="s">
        <v>161</v>
      </c>
      <c r="M1029" s="113" t="s">
        <v>159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/>
      </c>
      <c r="Z1029" s="563"/>
    </row>
    <row r="1030" spans="1:26" ht="15.75" customHeight="1">
      <c r="A1030" s="120" t="str">
        <f>IF(B1030&lt;&gt;"",IF(AND(B1030&gt;=_TM1,B1030&lt;=_TM2,OR(TH!L1030="1111",TH!M1030="1111")),TH!D1030,""),"")</f>
        <v/>
      </c>
      <c r="B1030" s="12">
        <f t="shared" si="51"/>
        <v>11</v>
      </c>
      <c r="C1030" s="105">
        <f t="shared" si="52"/>
        <v>42682</v>
      </c>
      <c r="D1030" s="110" t="s">
        <v>1071</v>
      </c>
      <c r="E1030" s="472">
        <v>42682</v>
      </c>
      <c r="F1030" s="161" t="s">
        <v>679</v>
      </c>
      <c r="G1030" s="473" t="s">
        <v>764</v>
      </c>
      <c r="H1030" s="112" t="s">
        <v>1072</v>
      </c>
      <c r="I1030" s="133">
        <v>4600</v>
      </c>
      <c r="J1030" s="133">
        <v>684.77877858094269</v>
      </c>
      <c r="K1030" s="13">
        <f t="shared" si="50"/>
        <v>3149982</v>
      </c>
      <c r="L1030" s="113" t="s">
        <v>161</v>
      </c>
      <c r="M1030" s="113" t="s">
        <v>159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/>
      </c>
      <c r="Z1030" s="563"/>
    </row>
    <row r="1031" spans="1:26" ht="15.75" customHeight="1">
      <c r="A1031" s="120" t="str">
        <f>IF(B1031&lt;&gt;"",IF(AND(B1031&gt;=_TM1,B1031&lt;=_TM2,OR(TH!L1031="1111",TH!M1031="1111")),TH!D1031,""),"")</f>
        <v/>
      </c>
      <c r="B1031" s="12">
        <f t="shared" si="51"/>
        <v>11</v>
      </c>
      <c r="C1031" s="105">
        <f t="shared" si="52"/>
        <v>42682</v>
      </c>
      <c r="D1031" s="110" t="s">
        <v>1071</v>
      </c>
      <c r="E1031" s="472">
        <v>42682</v>
      </c>
      <c r="F1031" s="161" t="s">
        <v>680</v>
      </c>
      <c r="G1031" s="473" t="s">
        <v>765</v>
      </c>
      <c r="H1031" s="112" t="s">
        <v>1072</v>
      </c>
      <c r="I1031" s="133">
        <v>6030</v>
      </c>
      <c r="J1031" s="133">
        <v>10119.508616807265</v>
      </c>
      <c r="K1031" s="13">
        <f t="shared" si="50"/>
        <v>61020637</v>
      </c>
      <c r="L1031" s="113" t="s">
        <v>161</v>
      </c>
      <c r="M1031" s="113" t="s">
        <v>159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/>
      </c>
      <c r="Z1031" s="563"/>
    </row>
    <row r="1032" spans="1:26" ht="15.75" customHeight="1">
      <c r="A1032" s="120" t="str">
        <f>IF(B1032&lt;&gt;"",IF(AND(B1032&gt;=_TM1,B1032&lt;=_TM2,OR(TH!L1032="1111",TH!M1032="1111")),TH!D1032,""),"")</f>
        <v/>
      </c>
      <c r="B1032" s="12">
        <f t="shared" si="51"/>
        <v>11</v>
      </c>
      <c r="C1032" s="105">
        <f t="shared" si="52"/>
        <v>42683</v>
      </c>
      <c r="D1032" s="110" t="s">
        <v>1071</v>
      </c>
      <c r="E1032" s="472">
        <v>42683</v>
      </c>
      <c r="F1032" s="161" t="s">
        <v>690</v>
      </c>
      <c r="G1032" s="473" t="s">
        <v>766</v>
      </c>
      <c r="H1032" s="112" t="s">
        <v>1072</v>
      </c>
      <c r="I1032" s="133">
        <v>318</v>
      </c>
      <c r="J1032" s="133">
        <v>6391.2686000887979</v>
      </c>
      <c r="K1032" s="13">
        <f t="shared" si="50"/>
        <v>2032423</v>
      </c>
      <c r="L1032" s="113" t="s">
        <v>161</v>
      </c>
      <c r="M1032" s="113" t="s">
        <v>159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/>
      </c>
      <c r="Z1032" s="563"/>
    </row>
    <row r="1033" spans="1:26" ht="15.75" customHeight="1">
      <c r="A1033" s="120" t="str">
        <f>IF(B1033&lt;&gt;"",IF(AND(B1033&gt;=_TM1,B1033&lt;=_TM2,OR(TH!L1033="1111",TH!M1033="1111")),TH!D1033,""),"")</f>
        <v/>
      </c>
      <c r="B1033" s="12">
        <f t="shared" si="51"/>
        <v>11</v>
      </c>
      <c r="C1033" s="105">
        <f t="shared" si="52"/>
        <v>42683</v>
      </c>
      <c r="D1033" s="110" t="s">
        <v>1071</v>
      </c>
      <c r="E1033" s="472">
        <v>42683</v>
      </c>
      <c r="F1033" s="161" t="s">
        <v>538</v>
      </c>
      <c r="G1033" s="473" t="s">
        <v>766</v>
      </c>
      <c r="H1033" s="112" t="s">
        <v>1072</v>
      </c>
      <c r="I1033" s="134">
        <v>520</v>
      </c>
      <c r="J1033" s="133">
        <v>7380.3935024834936</v>
      </c>
      <c r="K1033" s="13">
        <f t="shared" si="50"/>
        <v>3837805</v>
      </c>
      <c r="L1033" s="113" t="s">
        <v>161</v>
      </c>
      <c r="M1033" s="113" t="s">
        <v>159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/>
      </c>
      <c r="Z1033" s="563"/>
    </row>
    <row r="1034" spans="1:26" ht="15.75" customHeight="1">
      <c r="A1034" s="120" t="str">
        <f>IF(B1034&lt;&gt;"",IF(AND(B1034&gt;=_TM1,B1034&lt;=_TM2,OR(TH!L1034="1111",TH!M1034="1111")),TH!D1034,""),"")</f>
        <v/>
      </c>
      <c r="B1034" s="12">
        <f t="shared" si="51"/>
        <v>11</v>
      </c>
      <c r="C1034" s="105">
        <f t="shared" si="52"/>
        <v>42683</v>
      </c>
      <c r="D1034" s="110" t="s">
        <v>1071</v>
      </c>
      <c r="E1034" s="472">
        <v>42683</v>
      </c>
      <c r="F1034" s="161" t="s">
        <v>811</v>
      </c>
      <c r="G1034" s="473" t="s">
        <v>809</v>
      </c>
      <c r="H1034" s="112" t="s">
        <v>1072</v>
      </c>
      <c r="I1034" s="133">
        <v>4000</v>
      </c>
      <c r="J1034" s="133">
        <v>6391.2686000887979</v>
      </c>
      <c r="K1034" s="13">
        <f t="shared" si="50"/>
        <v>25565074</v>
      </c>
      <c r="L1034" s="113" t="s">
        <v>161</v>
      </c>
      <c r="M1034" s="113" t="s">
        <v>159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/>
      </c>
      <c r="Z1034" s="563"/>
    </row>
    <row r="1035" spans="1:26" ht="15.75" customHeight="1">
      <c r="A1035" s="120" t="str">
        <f>IF(B1035&lt;&gt;"",IF(AND(B1035&gt;=_TM1,B1035&lt;=_TM2,OR(TH!L1035="1111",TH!M1035="1111")),TH!D1035,""),"")</f>
        <v/>
      </c>
      <c r="B1035" s="12">
        <f t="shared" si="51"/>
        <v>11</v>
      </c>
      <c r="C1035" s="105">
        <f t="shared" si="52"/>
        <v>42684</v>
      </c>
      <c r="D1035" s="110" t="s">
        <v>1071</v>
      </c>
      <c r="E1035" s="472">
        <v>42684</v>
      </c>
      <c r="F1035" s="161" t="s">
        <v>811</v>
      </c>
      <c r="G1035" s="473" t="s">
        <v>810</v>
      </c>
      <c r="H1035" s="112" t="s">
        <v>1072</v>
      </c>
      <c r="I1035" s="133">
        <v>4000</v>
      </c>
      <c r="J1035" s="133">
        <v>6391.2686000887979</v>
      </c>
      <c r="K1035" s="13">
        <f t="shared" si="50"/>
        <v>25565074</v>
      </c>
      <c r="L1035" s="113" t="s">
        <v>161</v>
      </c>
      <c r="M1035" s="113" t="s">
        <v>159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/>
      </c>
      <c r="Z1035" s="563"/>
    </row>
    <row r="1036" spans="1:26" ht="15.75" customHeight="1">
      <c r="A1036" s="120" t="str">
        <f>IF(B1036&lt;&gt;"",IF(AND(B1036&gt;=_TM1,B1036&lt;=_TM2,OR(TH!L1036="1111",TH!M1036="1111")),TH!D1036,""),"")</f>
        <v/>
      </c>
      <c r="B1036" s="12">
        <f t="shared" si="51"/>
        <v>11</v>
      </c>
      <c r="C1036" s="105">
        <f t="shared" si="52"/>
        <v>42693</v>
      </c>
      <c r="D1036" s="110" t="s">
        <v>1071</v>
      </c>
      <c r="E1036" s="472">
        <v>42693</v>
      </c>
      <c r="F1036" s="161" t="s">
        <v>683</v>
      </c>
      <c r="G1036" s="473" t="s">
        <v>767</v>
      </c>
      <c r="H1036" s="112" t="s">
        <v>1072</v>
      </c>
      <c r="I1036" s="133">
        <v>23</v>
      </c>
      <c r="J1036" s="133">
        <v>14989.046597827301</v>
      </c>
      <c r="K1036" s="13">
        <f t="shared" si="50"/>
        <v>344748</v>
      </c>
      <c r="L1036" s="113" t="s">
        <v>161</v>
      </c>
      <c r="M1036" s="113" t="s">
        <v>159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/>
      </c>
      <c r="Z1036" s="563"/>
    </row>
    <row r="1037" spans="1:26" ht="15.75" customHeight="1">
      <c r="A1037" s="120" t="str">
        <f>IF(B1037&lt;&gt;"",IF(AND(B1037&gt;=_TM1,B1037&lt;=_TM2,OR(TH!L1037="1111",TH!M1037="1111")),TH!D1037,""),"")</f>
        <v/>
      </c>
      <c r="B1037" s="12">
        <f t="shared" si="51"/>
        <v>11</v>
      </c>
      <c r="C1037" s="105">
        <f t="shared" si="52"/>
        <v>42693</v>
      </c>
      <c r="D1037" s="110" t="s">
        <v>1071</v>
      </c>
      <c r="E1037" s="472">
        <v>42693</v>
      </c>
      <c r="F1037" s="161" t="s">
        <v>496</v>
      </c>
      <c r="G1037" s="473" t="s">
        <v>767</v>
      </c>
      <c r="H1037" s="112" t="s">
        <v>1072</v>
      </c>
      <c r="I1037" s="133">
        <v>63</v>
      </c>
      <c r="J1037" s="133">
        <v>57521.417400799182</v>
      </c>
      <c r="K1037" s="13">
        <f t="shared" si="50"/>
        <v>3623849</v>
      </c>
      <c r="L1037" s="113" t="s">
        <v>161</v>
      </c>
      <c r="M1037" s="113" t="s">
        <v>159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/>
      </c>
      <c r="Z1037" s="563"/>
    </row>
    <row r="1038" spans="1:26" ht="15.75" customHeight="1">
      <c r="A1038" s="120" t="str">
        <f>IF(B1038&lt;&gt;"",IF(AND(B1038&gt;=_TM1,B1038&lt;=_TM2,OR(TH!L1038="1111",TH!M1038="1111")),TH!D1038,""),"")</f>
        <v/>
      </c>
      <c r="B1038" s="542">
        <f t="shared" si="51"/>
        <v>11</v>
      </c>
      <c r="C1038" s="105">
        <f t="shared" si="52"/>
        <v>42693</v>
      </c>
      <c r="D1038" s="110" t="s">
        <v>1071</v>
      </c>
      <c r="E1038" s="472">
        <v>42693</v>
      </c>
      <c r="F1038" s="161" t="s">
        <v>684</v>
      </c>
      <c r="G1038" s="473" t="s">
        <v>767</v>
      </c>
      <c r="H1038" s="112" t="s">
        <v>1072</v>
      </c>
      <c r="I1038" s="133">
        <v>27</v>
      </c>
      <c r="J1038" s="133">
        <v>27695.497267051462</v>
      </c>
      <c r="K1038" s="13">
        <f t="shared" si="50"/>
        <v>747778</v>
      </c>
      <c r="L1038" s="113" t="s">
        <v>161</v>
      </c>
      <c r="M1038" s="113" t="s">
        <v>159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/>
      </c>
      <c r="Z1038" s="563"/>
    </row>
    <row r="1039" spans="1:26" ht="15.75" customHeight="1">
      <c r="A1039" s="120" t="str">
        <f>IF(B1039&lt;&gt;"",IF(AND(B1039&gt;=_TM1,B1039&lt;=_TM2,OR(TH!L1039="1111",TH!M1039="1111")),TH!D1039,""),"")</f>
        <v/>
      </c>
      <c r="B1039" s="12">
        <f t="shared" si="51"/>
        <v>11</v>
      </c>
      <c r="C1039" s="105">
        <f t="shared" si="52"/>
        <v>42693</v>
      </c>
      <c r="D1039" s="110" t="s">
        <v>1071</v>
      </c>
      <c r="E1039" s="472">
        <v>42693</v>
      </c>
      <c r="F1039" s="161" t="s">
        <v>685</v>
      </c>
      <c r="G1039" s="473" t="s">
        <v>767</v>
      </c>
      <c r="H1039" s="112" t="s">
        <v>1072</v>
      </c>
      <c r="I1039" s="133">
        <v>27</v>
      </c>
      <c r="J1039" s="133">
        <v>25184.641745588004</v>
      </c>
      <c r="K1039" s="13">
        <f t="shared" si="50"/>
        <v>679985</v>
      </c>
      <c r="L1039" s="113" t="s">
        <v>161</v>
      </c>
      <c r="M1039" s="113" t="s">
        <v>159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/>
      </c>
      <c r="Z1039" s="563"/>
    </row>
    <row r="1040" spans="1:26" ht="15.75" customHeight="1">
      <c r="A1040" s="120" t="str">
        <f>IF(B1040&lt;&gt;"",IF(AND(B1040&gt;=_TM1,B1040&lt;=_TM2,OR(TH!L1040="1111",TH!M1040="1111")),TH!D1040,""),"")</f>
        <v/>
      </c>
      <c r="B1040" s="12">
        <f t="shared" si="51"/>
        <v>11</v>
      </c>
      <c r="C1040" s="105">
        <f t="shared" si="52"/>
        <v>42693</v>
      </c>
      <c r="D1040" s="110" t="s">
        <v>1071</v>
      </c>
      <c r="E1040" s="472">
        <v>42693</v>
      </c>
      <c r="F1040" s="161" t="s">
        <v>686</v>
      </c>
      <c r="G1040" s="473" t="s">
        <v>767</v>
      </c>
      <c r="H1040" s="112" t="s">
        <v>1072</v>
      </c>
      <c r="I1040" s="133">
        <v>26</v>
      </c>
      <c r="J1040" s="133">
        <v>35836.756079069331</v>
      </c>
      <c r="K1040" s="13">
        <f t="shared" si="50"/>
        <v>931756</v>
      </c>
      <c r="L1040" s="113" t="s">
        <v>161</v>
      </c>
      <c r="M1040" s="113" t="s">
        <v>159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/>
      </c>
      <c r="Z1040" s="563"/>
    </row>
    <row r="1041" spans="1:26" ht="15.75" customHeight="1">
      <c r="A1041" s="120" t="str">
        <f>IF(B1041&lt;&gt;"",IF(AND(B1041&gt;=_TM1,B1041&lt;=_TM2,OR(TH!L1041="1111",TH!M1041="1111")),TH!D1041,""),"")</f>
        <v/>
      </c>
      <c r="B1041" s="12">
        <f t="shared" si="51"/>
        <v>11</v>
      </c>
      <c r="C1041" s="105">
        <f t="shared" si="52"/>
        <v>42693</v>
      </c>
      <c r="D1041" s="110" t="s">
        <v>1071</v>
      </c>
      <c r="E1041" s="472">
        <v>42693</v>
      </c>
      <c r="F1041" s="161" t="s">
        <v>687</v>
      </c>
      <c r="G1041" s="473" t="s">
        <v>767</v>
      </c>
      <c r="H1041" s="112" t="s">
        <v>1072</v>
      </c>
      <c r="I1041" s="133">
        <v>21</v>
      </c>
      <c r="J1041" s="133">
        <v>21836.834383636728</v>
      </c>
      <c r="K1041" s="13">
        <f t="shared" si="50"/>
        <v>458574</v>
      </c>
      <c r="L1041" s="113" t="s">
        <v>161</v>
      </c>
      <c r="M1041" s="113" t="s">
        <v>159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/>
      </c>
      <c r="Z1041" s="563"/>
    </row>
    <row r="1042" spans="1:26" ht="15.75" customHeight="1">
      <c r="A1042" s="120" t="str">
        <f>IF(B1042&lt;&gt;"",IF(AND(B1042&gt;=_TM1,B1042&lt;=_TM2,OR(TH!L1042="1111",TH!M1042="1111")),TH!D1042,""),"")</f>
        <v/>
      </c>
      <c r="B1042" s="12">
        <f t="shared" si="51"/>
        <v>11</v>
      </c>
      <c r="C1042" s="105">
        <f t="shared" si="52"/>
        <v>42694</v>
      </c>
      <c r="D1042" s="110" t="s">
        <v>1071</v>
      </c>
      <c r="E1042" s="472">
        <v>42694</v>
      </c>
      <c r="F1042" s="161" t="s">
        <v>957</v>
      </c>
      <c r="G1042" s="473" t="s">
        <v>436</v>
      </c>
      <c r="H1042" s="112" t="s">
        <v>1072</v>
      </c>
      <c r="I1042" s="133">
        <v>1560</v>
      </c>
      <c r="J1042" s="133">
        <v>9586.9029001331983</v>
      </c>
      <c r="K1042" s="13">
        <f t="shared" si="50"/>
        <v>14955569</v>
      </c>
      <c r="L1042" s="113" t="s">
        <v>161</v>
      </c>
      <c r="M1042" s="113" t="s">
        <v>159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/>
      </c>
      <c r="Z1042" s="563"/>
    </row>
    <row r="1043" spans="1:26" ht="15.75" customHeight="1">
      <c r="A1043" s="120" t="str">
        <f>IF(B1043&lt;&gt;"",IF(AND(B1043&gt;=_TM1,B1043&lt;=_TM2,OR(TH!L1043="1111",TH!M1043="1111")),TH!D1043,""),"")</f>
        <v/>
      </c>
      <c r="B1043" s="12">
        <f t="shared" si="51"/>
        <v>11</v>
      </c>
      <c r="C1043" s="105">
        <f t="shared" si="52"/>
        <v>42693</v>
      </c>
      <c r="D1043" s="110" t="s">
        <v>1071</v>
      </c>
      <c r="E1043" s="472">
        <v>42693</v>
      </c>
      <c r="F1043" s="161" t="s">
        <v>811</v>
      </c>
      <c r="G1043" s="473" t="s">
        <v>813</v>
      </c>
      <c r="H1043" s="112" t="s">
        <v>1072</v>
      </c>
      <c r="I1043" s="133">
        <v>4000</v>
      </c>
      <c r="J1043" s="133">
        <v>6391.2686000887979</v>
      </c>
      <c r="K1043" s="13">
        <f t="shared" si="50"/>
        <v>25565074</v>
      </c>
      <c r="L1043" s="113" t="s">
        <v>161</v>
      </c>
      <c r="M1043" s="113" t="s">
        <v>159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/>
      </c>
      <c r="Z1043" s="563"/>
    </row>
    <row r="1044" spans="1:26" ht="15.75" customHeight="1">
      <c r="A1044" s="120" t="str">
        <f>IF(B1044&lt;&gt;"",IF(AND(B1044&gt;=_TM1,B1044&lt;=_TM2,OR(TH!L1044="1111",TH!M1044="1111")),TH!D1044,""),"")</f>
        <v/>
      </c>
      <c r="B1044" s="12">
        <f t="shared" si="51"/>
        <v>11</v>
      </c>
      <c r="C1044" s="105">
        <f t="shared" si="52"/>
        <v>42696</v>
      </c>
      <c r="D1044" s="110" t="s">
        <v>1071</v>
      </c>
      <c r="E1044" s="472">
        <v>42696</v>
      </c>
      <c r="F1044" s="161" t="s">
        <v>682</v>
      </c>
      <c r="G1044" s="473" t="s">
        <v>768</v>
      </c>
      <c r="H1044" s="112" t="s">
        <v>1072</v>
      </c>
      <c r="I1044" s="133">
        <v>608</v>
      </c>
      <c r="J1044" s="133">
        <v>11489.06617396915</v>
      </c>
      <c r="K1044" s="13">
        <f t="shared" si="50"/>
        <v>6985352</v>
      </c>
      <c r="L1044" s="113" t="s">
        <v>161</v>
      </c>
      <c r="M1044" s="113" t="s">
        <v>159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/>
      </c>
      <c r="Z1044" s="563"/>
    </row>
    <row r="1045" spans="1:26" ht="15.75" customHeight="1">
      <c r="A1045" s="120" t="str">
        <f>IF(B1045&lt;&gt;"",IF(AND(B1045&gt;=_TM1,B1045&lt;=_TM2,OR(TH!L1045="1111",TH!M1045="1111")),TH!D1045,""),"")</f>
        <v/>
      </c>
      <c r="B1045" s="12">
        <f t="shared" si="51"/>
        <v>11</v>
      </c>
      <c r="C1045" s="105">
        <f t="shared" si="52"/>
        <v>42697</v>
      </c>
      <c r="D1045" s="110" t="s">
        <v>1071</v>
      </c>
      <c r="E1045" s="472">
        <v>42697</v>
      </c>
      <c r="F1045" s="161" t="s">
        <v>811</v>
      </c>
      <c r="G1045" s="473" t="s">
        <v>814</v>
      </c>
      <c r="H1045" s="112" t="s">
        <v>1072</v>
      </c>
      <c r="I1045" s="133">
        <v>3353</v>
      </c>
      <c r="J1045" s="133">
        <v>6391.2686000887979</v>
      </c>
      <c r="K1045" s="13">
        <f t="shared" si="50"/>
        <v>21429924</v>
      </c>
      <c r="L1045" s="113" t="s">
        <v>161</v>
      </c>
      <c r="M1045" s="113" t="s">
        <v>159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/>
      </c>
      <c r="Z1045" s="563"/>
    </row>
    <row r="1046" spans="1:26" ht="15.75" customHeight="1">
      <c r="A1046" s="120" t="str">
        <f>IF(B1046&lt;&gt;"",IF(AND(B1046&gt;=_TM1,B1046&lt;=_TM2,OR(TH!L1046="1111",TH!M1046="1111")),TH!D1046,""),"")</f>
        <v/>
      </c>
      <c r="B1046" s="12">
        <f t="shared" si="51"/>
        <v>11</v>
      </c>
      <c r="C1046" s="105">
        <f t="shared" si="52"/>
        <v>42703</v>
      </c>
      <c r="D1046" s="110" t="s">
        <v>1071</v>
      </c>
      <c r="E1046" s="472">
        <v>42703</v>
      </c>
      <c r="F1046" s="161" t="s">
        <v>689</v>
      </c>
      <c r="G1046" s="473" t="s">
        <v>769</v>
      </c>
      <c r="H1046" s="112" t="s">
        <v>1072</v>
      </c>
      <c r="I1046" s="134">
        <v>1020</v>
      </c>
      <c r="J1046" s="133">
        <v>5173.8841048337899</v>
      </c>
      <c r="K1046" s="13">
        <f t="shared" si="50"/>
        <v>5277362</v>
      </c>
      <c r="L1046" s="113" t="s">
        <v>161</v>
      </c>
      <c r="M1046" s="113" t="s">
        <v>159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/>
      </c>
      <c r="Z1046" s="563"/>
    </row>
    <row r="1047" spans="1:26" ht="15.75" customHeight="1">
      <c r="A1047" s="120" t="str">
        <f>IF(B1047&lt;&gt;"",IF(AND(B1047&gt;=_TM1,B1047&lt;=_TM2,OR(TH!L1047="1111",TH!M1047="1111")),TH!D1047,""),"")</f>
        <v/>
      </c>
      <c r="B1047" s="12">
        <f t="shared" si="51"/>
        <v>11</v>
      </c>
      <c r="C1047" s="105">
        <f t="shared" si="52"/>
        <v>42703</v>
      </c>
      <c r="D1047" s="110" t="s">
        <v>1071</v>
      </c>
      <c r="E1047" s="472">
        <v>42703</v>
      </c>
      <c r="F1047" s="161" t="s">
        <v>691</v>
      </c>
      <c r="G1047" s="473" t="s">
        <v>770</v>
      </c>
      <c r="H1047" s="112" t="s">
        <v>1072</v>
      </c>
      <c r="I1047" s="134">
        <v>25</v>
      </c>
      <c r="J1047" s="133">
        <v>72282.20440576617</v>
      </c>
      <c r="K1047" s="13">
        <f t="shared" si="50"/>
        <v>1807055</v>
      </c>
      <c r="L1047" s="113" t="s">
        <v>161</v>
      </c>
      <c r="M1047" s="113" t="s">
        <v>159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/>
      </c>
      <c r="Z1047" s="563"/>
    </row>
    <row r="1048" spans="1:26" ht="15.75" customHeight="1">
      <c r="A1048" s="120" t="str">
        <f>IF(B1048&lt;&gt;"",IF(AND(B1048&gt;=_TM1,B1048&lt;=_TM2,OR(TH!L1048="1111",TH!M1048="1111")),TH!D1048,""),"")</f>
        <v/>
      </c>
      <c r="B1048" s="12">
        <f t="shared" si="51"/>
        <v>11</v>
      </c>
      <c r="C1048" s="105">
        <f t="shared" si="52"/>
        <v>42703</v>
      </c>
      <c r="D1048" s="110" t="s">
        <v>1071</v>
      </c>
      <c r="E1048" s="472">
        <v>42703</v>
      </c>
      <c r="F1048" s="161" t="s">
        <v>692</v>
      </c>
      <c r="G1048" s="473" t="s">
        <v>770</v>
      </c>
      <c r="H1048" s="112" t="s">
        <v>1072</v>
      </c>
      <c r="I1048" s="134">
        <v>5</v>
      </c>
      <c r="J1048" s="133">
        <v>58510.542303193884</v>
      </c>
      <c r="K1048" s="13">
        <f t="shared" si="50"/>
        <v>292553</v>
      </c>
      <c r="L1048" s="113" t="s">
        <v>161</v>
      </c>
      <c r="M1048" s="113" t="s">
        <v>159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/>
      </c>
      <c r="Z1048" s="563"/>
    </row>
    <row r="1049" spans="1:26" ht="15.75" customHeight="1">
      <c r="A1049" s="120" t="str">
        <f>IF(B1049&lt;&gt;"",IF(AND(B1049&gt;=_TM1,B1049&lt;=_TM2,OR(TH!L1049="1111",TH!M1049="1111")),TH!D1049,""),"")</f>
        <v/>
      </c>
      <c r="B1049" s="12">
        <f t="shared" si="51"/>
        <v>11</v>
      </c>
      <c r="C1049" s="105">
        <f t="shared" si="52"/>
        <v>42703</v>
      </c>
      <c r="D1049" s="110" t="s">
        <v>1071</v>
      </c>
      <c r="E1049" s="472">
        <v>42703</v>
      </c>
      <c r="F1049" s="161" t="s">
        <v>693</v>
      </c>
      <c r="G1049" s="473" t="s">
        <v>770</v>
      </c>
      <c r="H1049" s="112" t="s">
        <v>1072</v>
      </c>
      <c r="I1049" s="134">
        <v>100</v>
      </c>
      <c r="J1049" s="133">
        <v>43825.841829180332</v>
      </c>
      <c r="K1049" s="13">
        <f t="shared" si="50"/>
        <v>4382584</v>
      </c>
      <c r="L1049" s="113" t="s">
        <v>161</v>
      </c>
      <c r="M1049" s="113" t="s">
        <v>159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/>
      </c>
      <c r="Z1049" s="563"/>
    </row>
    <row r="1050" spans="1:26" ht="15.75" customHeight="1">
      <c r="A1050" s="120" t="str">
        <f>IF(B1050&lt;&gt;"",IF(AND(B1050&gt;=_TM1,B1050&lt;=_TM2,OR(TH!L1050="1111",TH!M1050="1111")),TH!D1050,""),"")</f>
        <v/>
      </c>
      <c r="B1050" s="12">
        <f t="shared" si="51"/>
        <v>11</v>
      </c>
      <c r="C1050" s="105">
        <f t="shared" si="52"/>
        <v>42703</v>
      </c>
      <c r="D1050" s="110" t="s">
        <v>1071</v>
      </c>
      <c r="E1050" s="472">
        <v>42703</v>
      </c>
      <c r="F1050" s="161" t="s">
        <v>694</v>
      </c>
      <c r="G1050" s="473" t="s">
        <v>770</v>
      </c>
      <c r="H1050" s="112" t="s">
        <v>1072</v>
      </c>
      <c r="I1050" s="133">
        <v>12</v>
      </c>
      <c r="J1050" s="133">
        <v>85216.914667850637</v>
      </c>
      <c r="K1050" s="13">
        <f t="shared" si="50"/>
        <v>1022603</v>
      </c>
      <c r="L1050" s="113" t="s">
        <v>161</v>
      </c>
      <c r="M1050" s="113" t="s">
        <v>159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/>
      </c>
      <c r="Z1050" s="563"/>
    </row>
    <row r="1051" spans="1:26" ht="15.75" customHeight="1">
      <c r="A1051" s="120" t="str">
        <f>IF(B1051&lt;&gt;"",IF(AND(B1051&gt;=_TM1,B1051&lt;=_TM2,OR(TH!L1051="1111",TH!M1051="1111")),TH!D1051,""),"")</f>
        <v/>
      </c>
      <c r="B1051" s="12">
        <f t="shared" si="51"/>
        <v>12</v>
      </c>
      <c r="C1051" s="105">
        <f t="shared" si="52"/>
        <v>42705</v>
      </c>
      <c r="D1051" s="110" t="s">
        <v>1071</v>
      </c>
      <c r="E1051" s="472">
        <v>42705</v>
      </c>
      <c r="F1051" s="161" t="s">
        <v>811</v>
      </c>
      <c r="G1051" s="473" t="s">
        <v>774</v>
      </c>
      <c r="H1051" s="112" t="s">
        <v>1072</v>
      </c>
      <c r="I1051" s="133">
        <v>2400</v>
      </c>
      <c r="J1051" s="133">
        <v>6391.2686000887979</v>
      </c>
      <c r="K1051" s="13">
        <f t="shared" si="50"/>
        <v>15339045</v>
      </c>
      <c r="L1051" s="113" t="s">
        <v>161</v>
      </c>
      <c r="M1051" s="113" t="s">
        <v>159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/>
      </c>
      <c r="Z1051" s="563"/>
    </row>
    <row r="1052" spans="1:26" ht="15.75" customHeight="1">
      <c r="A1052" s="120" t="str">
        <f>IF(B1052&lt;&gt;"",IF(AND(B1052&gt;=_TM1,B1052&lt;=_TM2,OR(TH!L1052="1111",TH!M1052="1111")),TH!D1052,""),"")</f>
        <v/>
      </c>
      <c r="B1052" s="12">
        <f t="shared" si="51"/>
        <v>12</v>
      </c>
      <c r="C1052" s="105">
        <f t="shared" si="52"/>
        <v>42706</v>
      </c>
      <c r="D1052" s="110" t="s">
        <v>1071</v>
      </c>
      <c r="E1052" s="472">
        <v>42706</v>
      </c>
      <c r="F1052" s="161" t="s">
        <v>811</v>
      </c>
      <c r="G1052" s="473" t="s">
        <v>822</v>
      </c>
      <c r="H1052" s="112" t="s">
        <v>1072</v>
      </c>
      <c r="I1052" s="134">
        <v>1600</v>
      </c>
      <c r="J1052" s="134">
        <v>6391.2686000887979</v>
      </c>
      <c r="K1052" s="13">
        <f t="shared" si="50"/>
        <v>10226030</v>
      </c>
      <c r="L1052" s="113" t="s">
        <v>161</v>
      </c>
      <c r="M1052" s="113" t="s">
        <v>159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/>
      </c>
      <c r="Z1052" s="563"/>
    </row>
    <row r="1053" spans="1:26" ht="15.75" customHeight="1">
      <c r="A1053" s="120" t="str">
        <f>IF(B1053&lt;&gt;"",IF(AND(B1053&gt;=_TM1,B1053&lt;=_TM2,OR(TH!L1053="1111",TH!M1053="1111")),TH!D1053,""),"")</f>
        <v/>
      </c>
      <c r="B1053" s="12">
        <f t="shared" si="51"/>
        <v>12</v>
      </c>
      <c r="C1053" s="105">
        <f t="shared" si="52"/>
        <v>42707</v>
      </c>
      <c r="D1053" s="110" t="s">
        <v>1071</v>
      </c>
      <c r="E1053" s="472">
        <v>42707</v>
      </c>
      <c r="F1053" s="161" t="s">
        <v>811</v>
      </c>
      <c r="G1053" s="473" t="s">
        <v>823</v>
      </c>
      <c r="H1053" s="112" t="s">
        <v>1072</v>
      </c>
      <c r="I1053" s="133">
        <v>4000</v>
      </c>
      <c r="J1053" s="133">
        <v>6391.2686000887979</v>
      </c>
      <c r="K1053" s="13">
        <f t="shared" si="50"/>
        <v>25565074</v>
      </c>
      <c r="L1053" s="113" t="s">
        <v>161</v>
      </c>
      <c r="M1053" s="113" t="s">
        <v>159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/>
      </c>
      <c r="Z1053" s="563"/>
    </row>
    <row r="1054" spans="1:26" ht="15.75" customHeight="1">
      <c r="A1054" s="120" t="str">
        <f>IF(B1054&lt;&gt;"",IF(AND(B1054&gt;=_TM1,B1054&lt;=_TM2,OR(TH!L1054="1111",TH!M1054="1111")),TH!D1054,""),"")</f>
        <v/>
      </c>
      <c r="B1054" s="12">
        <f t="shared" si="51"/>
        <v>12</v>
      </c>
      <c r="C1054" s="105">
        <f t="shared" si="52"/>
        <v>42708</v>
      </c>
      <c r="D1054" s="110" t="s">
        <v>1071</v>
      </c>
      <c r="E1054" s="472">
        <v>42708</v>
      </c>
      <c r="F1054" s="161" t="s">
        <v>825</v>
      </c>
      <c r="G1054" s="473" t="s">
        <v>824</v>
      </c>
      <c r="H1054" s="112" t="s">
        <v>1072</v>
      </c>
      <c r="I1054" s="133">
        <v>6154</v>
      </c>
      <c r="J1054" s="133">
        <v>7456.4800334369311</v>
      </c>
      <c r="K1054" s="13">
        <f t="shared" si="50"/>
        <v>45887178</v>
      </c>
      <c r="L1054" s="113" t="s">
        <v>161</v>
      </c>
      <c r="M1054" s="113" t="s">
        <v>159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/>
      </c>
      <c r="Z1054" s="563"/>
    </row>
    <row r="1055" spans="1:26" ht="15.75" customHeight="1">
      <c r="A1055" s="120" t="str">
        <f>IF(B1055&lt;&gt;"",IF(AND(B1055&gt;=_TM1,B1055&lt;=_TM2,OR(TH!L1055="1111",TH!M1055="1111")),TH!D1055,""),"")</f>
        <v/>
      </c>
      <c r="B1055" s="12">
        <f t="shared" si="51"/>
        <v>12</v>
      </c>
      <c r="C1055" s="105">
        <f t="shared" si="52"/>
        <v>42708</v>
      </c>
      <c r="D1055" s="110" t="s">
        <v>1071</v>
      </c>
      <c r="E1055" s="472">
        <v>42708</v>
      </c>
      <c r="F1055" s="161" t="s">
        <v>826</v>
      </c>
      <c r="G1055" s="473" t="s">
        <v>824</v>
      </c>
      <c r="H1055" s="112" t="s">
        <v>1072</v>
      </c>
      <c r="I1055" s="133">
        <v>878</v>
      </c>
      <c r="J1055" s="133">
        <v>8978.2106525056934</v>
      </c>
      <c r="K1055" s="13">
        <f t="shared" si="50"/>
        <v>7882869</v>
      </c>
      <c r="L1055" s="113" t="s">
        <v>161</v>
      </c>
      <c r="M1055" s="113" t="s">
        <v>159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/>
      </c>
      <c r="Z1055" s="563"/>
    </row>
    <row r="1056" spans="1:26" ht="15.75" customHeight="1">
      <c r="A1056" s="120" t="str">
        <f>IF(B1056&lt;&gt;"",IF(AND(B1056&gt;=_TM1,B1056&lt;=_TM2,OR(TH!L1056="1111",TH!M1056="1111")),TH!D1056,""),"")</f>
        <v/>
      </c>
      <c r="B1056" s="12">
        <f t="shared" si="51"/>
        <v>12</v>
      </c>
      <c r="C1056" s="105">
        <f t="shared" si="52"/>
        <v>42709</v>
      </c>
      <c r="D1056" s="110" t="s">
        <v>1071</v>
      </c>
      <c r="E1056" s="472">
        <v>42709</v>
      </c>
      <c r="F1056" s="161" t="s">
        <v>811</v>
      </c>
      <c r="G1056" s="473" t="s">
        <v>827</v>
      </c>
      <c r="H1056" s="112" t="s">
        <v>1072</v>
      </c>
      <c r="I1056" s="133">
        <v>2400</v>
      </c>
      <c r="J1056" s="133">
        <v>6391.2686000887979</v>
      </c>
      <c r="K1056" s="13">
        <f t="shared" si="50"/>
        <v>15339045</v>
      </c>
      <c r="L1056" s="113" t="s">
        <v>161</v>
      </c>
      <c r="M1056" s="113" t="s">
        <v>159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/>
      </c>
      <c r="Z1056" s="563"/>
    </row>
    <row r="1057" spans="1:26" ht="15.75" customHeight="1">
      <c r="A1057" s="120" t="str">
        <f>IF(B1057&lt;&gt;"",IF(AND(B1057&gt;=_TM1,B1057&lt;=_TM2,OR(TH!L1057="1111",TH!M1057="1111")),TH!D1057,""),"")</f>
        <v/>
      </c>
      <c r="B1057" s="12">
        <f t="shared" si="51"/>
        <v>12</v>
      </c>
      <c r="C1057" s="105">
        <f t="shared" si="52"/>
        <v>42710</v>
      </c>
      <c r="D1057" s="110" t="s">
        <v>1071</v>
      </c>
      <c r="E1057" s="472">
        <v>42710</v>
      </c>
      <c r="F1057" s="161" t="s">
        <v>811</v>
      </c>
      <c r="G1057" s="473" t="s">
        <v>828</v>
      </c>
      <c r="H1057" s="112" t="s">
        <v>1072</v>
      </c>
      <c r="I1057" s="133">
        <v>2400</v>
      </c>
      <c r="J1057" s="133">
        <v>6391.2686000887979</v>
      </c>
      <c r="K1057" s="13">
        <f t="shared" si="50"/>
        <v>15339045</v>
      </c>
      <c r="L1057" s="113" t="s">
        <v>161</v>
      </c>
      <c r="M1057" s="113" t="s">
        <v>159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/>
      </c>
      <c r="Z1057" s="563"/>
    </row>
    <row r="1058" spans="1:26" ht="15.75" customHeight="1">
      <c r="A1058" s="120" t="str">
        <f>IF(B1058&lt;&gt;"",IF(AND(B1058&gt;=_TM1,B1058&lt;=_TM2,OR(TH!L1058="1111",TH!M1058="1111")),TH!D1058,""),"")</f>
        <v/>
      </c>
      <c r="B1058" s="12">
        <f t="shared" si="51"/>
        <v>12</v>
      </c>
      <c r="C1058" s="105">
        <f t="shared" si="52"/>
        <v>42713</v>
      </c>
      <c r="D1058" s="110" t="s">
        <v>1071</v>
      </c>
      <c r="E1058" s="472">
        <v>42713</v>
      </c>
      <c r="F1058" s="161" t="s">
        <v>831</v>
      </c>
      <c r="G1058" s="473" t="s">
        <v>830</v>
      </c>
      <c r="H1058" s="112" t="s">
        <v>1072</v>
      </c>
      <c r="I1058" s="133">
        <v>400</v>
      </c>
      <c r="J1058" s="133">
        <v>9282.5567763194449</v>
      </c>
      <c r="K1058" s="13">
        <f t="shared" si="50"/>
        <v>3713023</v>
      </c>
      <c r="L1058" s="113" t="s">
        <v>161</v>
      </c>
      <c r="M1058" s="113" t="s">
        <v>159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/>
      </c>
      <c r="Z1058" s="563"/>
    </row>
    <row r="1059" spans="1:26" ht="15.75" customHeight="1">
      <c r="A1059" s="120" t="str">
        <f>IF(B1059&lt;&gt;"",IF(AND(B1059&gt;=_TM1,B1059&lt;=_TM2,OR(TH!L1059="1111",TH!M1059="1111")),TH!D1059,""),"")</f>
        <v/>
      </c>
      <c r="B1059" s="12">
        <f t="shared" si="51"/>
        <v>12</v>
      </c>
      <c r="C1059" s="105">
        <f t="shared" si="52"/>
        <v>42713</v>
      </c>
      <c r="D1059" s="110" t="s">
        <v>1071</v>
      </c>
      <c r="E1059" s="472">
        <v>42713</v>
      </c>
      <c r="F1059" s="161" t="s">
        <v>832</v>
      </c>
      <c r="G1059" s="473" t="s">
        <v>830</v>
      </c>
      <c r="H1059" s="112" t="s">
        <v>1072</v>
      </c>
      <c r="I1059" s="133">
        <v>4000</v>
      </c>
      <c r="J1059" s="135">
        <v>1749.9902119290759</v>
      </c>
      <c r="K1059" s="13">
        <f t="shared" si="50"/>
        <v>6999961</v>
      </c>
      <c r="L1059" s="113" t="s">
        <v>161</v>
      </c>
      <c r="M1059" s="113" t="s">
        <v>159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/>
      </c>
      <c r="Z1059" s="563"/>
    </row>
    <row r="1060" spans="1:26" ht="15.75" customHeight="1">
      <c r="A1060" s="120" t="str">
        <f>IF(B1060&lt;&gt;"",IF(AND(B1060&gt;=_TM1,B1060&lt;=_TM2,OR(TH!L1060="1111",TH!M1060="1111")),TH!D1060,""),"")</f>
        <v/>
      </c>
      <c r="B1060" s="12">
        <f t="shared" si="51"/>
        <v>12</v>
      </c>
      <c r="C1060" s="105">
        <f t="shared" si="52"/>
        <v>42713</v>
      </c>
      <c r="D1060" s="110" t="s">
        <v>1071</v>
      </c>
      <c r="E1060" s="472">
        <v>42713</v>
      </c>
      <c r="F1060" s="161" t="s">
        <v>826</v>
      </c>
      <c r="G1060" s="473" t="s">
        <v>439</v>
      </c>
      <c r="H1060" s="112" t="s">
        <v>1072</v>
      </c>
      <c r="I1060" s="134">
        <v>5240</v>
      </c>
      <c r="J1060" s="134">
        <v>8978.2106525056934</v>
      </c>
      <c r="K1060" s="13">
        <f t="shared" si="50"/>
        <v>47045824</v>
      </c>
      <c r="L1060" s="113" t="s">
        <v>161</v>
      </c>
      <c r="M1060" s="113" t="s">
        <v>159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/>
      </c>
      <c r="Z1060" s="563"/>
    </row>
    <row r="1061" spans="1:26" ht="15.75" customHeight="1">
      <c r="A1061" s="120" t="str">
        <f>IF(B1061&lt;&gt;"",IF(AND(B1061&gt;=_TM1,B1061&lt;=_TM2,OR(TH!L1061="1111",TH!M1061="1111")),TH!D1061,""),"")</f>
        <v/>
      </c>
      <c r="B1061" s="12">
        <f t="shared" si="51"/>
        <v>12</v>
      </c>
      <c r="C1061" s="105">
        <f t="shared" si="52"/>
        <v>42713</v>
      </c>
      <c r="D1061" s="110" t="s">
        <v>1071</v>
      </c>
      <c r="E1061" s="472">
        <v>42713</v>
      </c>
      <c r="F1061" s="161" t="s">
        <v>835</v>
      </c>
      <c r="G1061" s="473" t="s">
        <v>834</v>
      </c>
      <c r="H1061" s="112" t="s">
        <v>1072</v>
      </c>
      <c r="I1061" s="133">
        <v>91</v>
      </c>
      <c r="J1061" s="133">
        <v>17119.469464523569</v>
      </c>
      <c r="K1061" s="13">
        <f t="shared" si="50"/>
        <v>1557872</v>
      </c>
      <c r="L1061" s="113" t="s">
        <v>161</v>
      </c>
      <c r="M1061" s="113" t="s">
        <v>159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/>
      </c>
      <c r="Z1061" s="563"/>
    </row>
    <row r="1062" spans="1:26" ht="15.75" customHeight="1">
      <c r="A1062" s="120" t="str">
        <f>IF(B1062&lt;&gt;"",IF(AND(B1062&gt;=_TM1,B1062&lt;=_TM2,OR(TH!L1062="1111",TH!M1062="1111")),TH!D1062,""),"")</f>
        <v/>
      </c>
      <c r="B1062" s="12">
        <f t="shared" si="51"/>
        <v>12</v>
      </c>
      <c r="C1062" s="105">
        <f t="shared" si="52"/>
        <v>42713</v>
      </c>
      <c r="D1062" s="110" t="s">
        <v>1071</v>
      </c>
      <c r="E1062" s="472">
        <v>42713</v>
      </c>
      <c r="F1062" s="161" t="s">
        <v>836</v>
      </c>
      <c r="G1062" s="473" t="s">
        <v>834</v>
      </c>
      <c r="H1062" s="112" t="s">
        <v>1072</v>
      </c>
      <c r="I1062" s="133">
        <v>300</v>
      </c>
      <c r="J1062" s="133">
        <v>6391.2686000887979</v>
      </c>
      <c r="K1062" s="13">
        <f t="shared" ref="K1062:K1125" si="53">ROUND(I1062*J1062,0)</f>
        <v>1917381</v>
      </c>
      <c r="L1062" s="113" t="s">
        <v>161</v>
      </c>
      <c r="M1062" s="113" t="s">
        <v>159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/>
      </c>
      <c r="Z1062" s="563"/>
    </row>
    <row r="1063" spans="1:26" ht="15.75" customHeight="1">
      <c r="A1063" s="120" t="str">
        <f>IF(B1063&lt;&gt;"",IF(AND(B1063&gt;=_TM1,B1063&lt;=_TM2,OR(TH!L1063="1111",TH!M1063="1111")),TH!D1063,""),"")</f>
        <v/>
      </c>
      <c r="B1063" s="12">
        <f t="shared" si="51"/>
        <v>12</v>
      </c>
      <c r="C1063" s="105">
        <f t="shared" si="52"/>
        <v>42713</v>
      </c>
      <c r="D1063" s="110" t="s">
        <v>1071</v>
      </c>
      <c r="E1063" s="472">
        <v>42713</v>
      </c>
      <c r="F1063" s="161" t="s">
        <v>811</v>
      </c>
      <c r="G1063" s="473" t="s">
        <v>837</v>
      </c>
      <c r="H1063" s="112" t="s">
        <v>1072</v>
      </c>
      <c r="I1063" s="133">
        <v>2400</v>
      </c>
      <c r="J1063" s="133">
        <v>6391.2686000887979</v>
      </c>
      <c r="K1063" s="13">
        <f t="shared" si="53"/>
        <v>15339045</v>
      </c>
      <c r="L1063" s="113" t="s">
        <v>161</v>
      </c>
      <c r="M1063" s="113" t="s">
        <v>159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/>
      </c>
      <c r="Z1063" s="563"/>
    </row>
    <row r="1064" spans="1:26" ht="15.75" customHeight="1">
      <c r="A1064" s="120" t="str">
        <f>IF(B1064&lt;&gt;"",IF(AND(B1064&gt;=_TM1,B1064&lt;=_TM2,OR(TH!L1064="1111",TH!M1064="1111")),TH!D1064,""),"")</f>
        <v/>
      </c>
      <c r="B1064" s="12">
        <f t="shared" ref="B1064:B1134" si="54">IF(C1064&lt;&gt;"",MONTH(C1064),"")</f>
        <v>12</v>
      </c>
      <c r="C1064" s="105">
        <f t="shared" si="52"/>
        <v>42714</v>
      </c>
      <c r="D1064" s="110" t="s">
        <v>1071</v>
      </c>
      <c r="E1064" s="472">
        <v>42714</v>
      </c>
      <c r="F1064" s="161" t="s">
        <v>811</v>
      </c>
      <c r="G1064" s="473" t="s">
        <v>838</v>
      </c>
      <c r="H1064" s="112" t="s">
        <v>1072</v>
      </c>
      <c r="I1064" s="134">
        <v>2400</v>
      </c>
      <c r="J1064" s="134">
        <v>6391.2686000887979</v>
      </c>
      <c r="K1064" s="13">
        <f t="shared" si="53"/>
        <v>15339045</v>
      </c>
      <c r="L1064" s="113" t="s">
        <v>161</v>
      </c>
      <c r="M1064" s="113" t="s">
        <v>159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/>
      </c>
      <c r="Z1064" s="563"/>
    </row>
    <row r="1065" spans="1:26" ht="15.75" customHeight="1">
      <c r="A1065" s="120" t="str">
        <f>IF(B1065&lt;&gt;"",IF(AND(B1065&gt;=_TM1,B1065&lt;=_TM2,OR(TH!L1065="1111",TH!M1065="1111")),TH!D1065,""),"")</f>
        <v/>
      </c>
      <c r="B1065" s="12">
        <f t="shared" si="54"/>
        <v>12</v>
      </c>
      <c r="C1065" s="105">
        <f t="shared" si="52"/>
        <v>42715</v>
      </c>
      <c r="D1065" s="110" t="s">
        <v>1071</v>
      </c>
      <c r="E1065" s="472">
        <v>42715</v>
      </c>
      <c r="F1065" s="161" t="s">
        <v>811</v>
      </c>
      <c r="G1065" s="473" t="s">
        <v>839</v>
      </c>
      <c r="H1065" s="112" t="s">
        <v>1072</v>
      </c>
      <c r="I1065" s="134">
        <v>2400</v>
      </c>
      <c r="J1065" s="134">
        <v>6391.2686000887979</v>
      </c>
      <c r="K1065" s="13">
        <f t="shared" si="53"/>
        <v>15339045</v>
      </c>
      <c r="L1065" s="113" t="s">
        <v>161</v>
      </c>
      <c r="M1065" s="113" t="s">
        <v>159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/>
      </c>
      <c r="Z1065" s="563"/>
    </row>
    <row r="1066" spans="1:26" ht="15.75" customHeight="1">
      <c r="A1066" s="120" t="str">
        <f>IF(B1066&lt;&gt;"",IF(AND(B1066&gt;=_TM1,B1066&lt;=_TM2,OR(TH!L1066="1111",TH!M1066="1111")),TH!D1066,""),"")</f>
        <v/>
      </c>
      <c r="B1066" s="12">
        <f t="shared" si="54"/>
        <v>12</v>
      </c>
      <c r="C1066" s="105">
        <f t="shared" si="52"/>
        <v>42716</v>
      </c>
      <c r="D1066" s="110" t="s">
        <v>1071</v>
      </c>
      <c r="E1066" s="472">
        <v>42716</v>
      </c>
      <c r="F1066" s="161" t="s">
        <v>811</v>
      </c>
      <c r="G1066" s="473" t="s">
        <v>840</v>
      </c>
      <c r="H1066" s="112" t="s">
        <v>1072</v>
      </c>
      <c r="I1066" s="133">
        <v>2400</v>
      </c>
      <c r="J1066" s="135">
        <v>6391.2686000887979</v>
      </c>
      <c r="K1066" s="13">
        <f t="shared" si="53"/>
        <v>15339045</v>
      </c>
      <c r="L1066" s="113" t="s">
        <v>161</v>
      </c>
      <c r="M1066" s="113" t="s">
        <v>159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/>
      </c>
      <c r="Z1066" s="563"/>
    </row>
    <row r="1067" spans="1:26" ht="15.75" customHeight="1">
      <c r="A1067" s="120" t="str">
        <f>IF(B1067&lt;&gt;"",IF(AND(B1067&gt;=_TM1,B1067&lt;=_TM2,OR(TH!L1067="1111",TH!M1067="1111")),TH!D1067,""),"")</f>
        <v/>
      </c>
      <c r="B1067" s="12">
        <f t="shared" si="54"/>
        <v>12</v>
      </c>
      <c r="C1067" s="105">
        <f t="shared" si="52"/>
        <v>42716</v>
      </c>
      <c r="D1067" s="110" t="s">
        <v>1071</v>
      </c>
      <c r="E1067" s="472">
        <v>42716</v>
      </c>
      <c r="F1067" s="161" t="s">
        <v>662</v>
      </c>
      <c r="G1067" s="473" t="s">
        <v>880</v>
      </c>
      <c r="H1067" s="112" t="s">
        <v>1072</v>
      </c>
      <c r="I1067" s="133">
        <v>332</v>
      </c>
      <c r="J1067" s="135">
        <v>7152.1339096231786</v>
      </c>
      <c r="K1067" s="13">
        <f t="shared" si="53"/>
        <v>2374508</v>
      </c>
      <c r="L1067" s="113" t="s">
        <v>161</v>
      </c>
      <c r="M1067" s="113" t="s">
        <v>159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/>
      </c>
      <c r="Z1067" s="563"/>
    </row>
    <row r="1068" spans="1:26" ht="15.75" customHeight="1">
      <c r="A1068" s="120" t="str">
        <f>IF(B1068&lt;&gt;"",IF(AND(B1068&gt;=_TM1,B1068&lt;=_TM2,OR(TH!L1068="1111",TH!M1068="1111")),TH!D1068,""),"")</f>
        <v/>
      </c>
      <c r="B1068" s="12">
        <f t="shared" si="54"/>
        <v>12</v>
      </c>
      <c r="C1068" s="105">
        <f t="shared" si="52"/>
        <v>42716</v>
      </c>
      <c r="D1068" s="110" t="s">
        <v>1071</v>
      </c>
      <c r="E1068" s="472">
        <v>42716</v>
      </c>
      <c r="F1068" s="161" t="s">
        <v>509</v>
      </c>
      <c r="G1068" s="473" t="s">
        <v>880</v>
      </c>
      <c r="H1068" s="112" t="s">
        <v>1072</v>
      </c>
      <c r="I1068" s="133">
        <v>104</v>
      </c>
      <c r="J1068" s="135">
        <v>10195.595147760703</v>
      </c>
      <c r="K1068" s="13">
        <f t="shared" si="53"/>
        <v>1060342</v>
      </c>
      <c r="L1068" s="113" t="s">
        <v>161</v>
      </c>
      <c r="M1068" s="113" t="s">
        <v>159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/>
      </c>
      <c r="Z1068" s="563"/>
    </row>
    <row r="1069" spans="1:26" ht="15.75" customHeight="1">
      <c r="A1069" s="120" t="str">
        <f>IF(B1069&lt;&gt;"",IF(AND(B1069&gt;=_TM1,B1069&lt;=_TM2,OR(TH!L1069="1111",TH!M1069="1111")),TH!D1069,""),"")</f>
        <v/>
      </c>
      <c r="B1069" s="12">
        <f t="shared" si="54"/>
        <v>12</v>
      </c>
      <c r="C1069" s="105">
        <f t="shared" si="52"/>
        <v>42717</v>
      </c>
      <c r="D1069" s="110" t="s">
        <v>1071</v>
      </c>
      <c r="E1069" s="472">
        <v>42717</v>
      </c>
      <c r="F1069" s="161" t="s">
        <v>527</v>
      </c>
      <c r="G1069" s="473" t="s">
        <v>881</v>
      </c>
      <c r="H1069" s="112" t="s">
        <v>1072</v>
      </c>
      <c r="I1069" s="133">
        <v>60</v>
      </c>
      <c r="J1069" s="135">
        <v>55162.734941242605</v>
      </c>
      <c r="K1069" s="13">
        <f t="shared" si="53"/>
        <v>3309764</v>
      </c>
      <c r="L1069" s="113" t="s">
        <v>161</v>
      </c>
      <c r="M1069" s="113" t="s">
        <v>159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/>
      </c>
      <c r="Z1069" s="563"/>
    </row>
    <row r="1070" spans="1:26" ht="15.75" customHeight="1">
      <c r="A1070" s="120" t="str">
        <f>IF(B1070&lt;&gt;"",IF(AND(B1070&gt;=_TM1,B1070&lt;=_TM2,OR(TH!L1070="1111",TH!M1070="1111")),TH!D1070,""),"")</f>
        <v/>
      </c>
      <c r="B1070" s="12">
        <f t="shared" si="54"/>
        <v>12</v>
      </c>
      <c r="C1070" s="105">
        <f t="shared" si="52"/>
        <v>42717</v>
      </c>
      <c r="D1070" s="110" t="s">
        <v>1071</v>
      </c>
      <c r="E1070" s="472">
        <v>42717</v>
      </c>
      <c r="F1070" s="161" t="s">
        <v>664</v>
      </c>
      <c r="G1070" s="473" t="s">
        <v>881</v>
      </c>
      <c r="H1070" s="112" t="s">
        <v>1072</v>
      </c>
      <c r="I1070" s="134">
        <v>22</v>
      </c>
      <c r="J1070" s="135">
        <v>64369.205186608619</v>
      </c>
      <c r="K1070" s="13">
        <f t="shared" si="53"/>
        <v>1416123</v>
      </c>
      <c r="L1070" s="113" t="s">
        <v>161</v>
      </c>
      <c r="M1070" s="113" t="s">
        <v>159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/>
      </c>
      <c r="Z1070" s="563"/>
    </row>
    <row r="1071" spans="1:26" ht="15.75" customHeight="1">
      <c r="A1071" s="120" t="str">
        <f>IF(B1071&lt;&gt;"",IF(AND(B1071&gt;=_TM1,B1071&lt;=_TM2,OR(TH!L1071="1111",TH!M1071="1111")),TH!D1071,""),"")</f>
        <v/>
      </c>
      <c r="B1071" s="12">
        <f t="shared" si="54"/>
        <v>12</v>
      </c>
      <c r="C1071" s="105">
        <f t="shared" si="52"/>
        <v>42719</v>
      </c>
      <c r="D1071" s="110" t="s">
        <v>1071</v>
      </c>
      <c r="E1071" s="472">
        <v>42719</v>
      </c>
      <c r="F1071" s="161" t="s">
        <v>842</v>
      </c>
      <c r="G1071" s="473" t="s">
        <v>841</v>
      </c>
      <c r="H1071" s="112" t="s">
        <v>1072</v>
      </c>
      <c r="I1071" s="134">
        <v>103</v>
      </c>
      <c r="J1071" s="135">
        <v>12021.671890643216</v>
      </c>
      <c r="K1071" s="13">
        <f t="shared" si="53"/>
        <v>1238232</v>
      </c>
      <c r="L1071" s="113" t="s">
        <v>161</v>
      </c>
      <c r="M1071" s="113" t="s">
        <v>159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/>
      </c>
      <c r="Z1071" s="563"/>
    </row>
    <row r="1072" spans="1:26" ht="15.75" customHeight="1">
      <c r="A1072" s="120" t="str">
        <f>IF(B1072&lt;&gt;"",IF(AND(B1072&gt;=_TM1,B1072&lt;=_TM2,OR(TH!L1072="1111",TH!M1072="1111")),TH!D1072,""),"")</f>
        <v/>
      </c>
      <c r="B1072" s="12">
        <f t="shared" si="54"/>
        <v>12</v>
      </c>
      <c r="C1072" s="105">
        <f t="shared" si="52"/>
        <v>42719</v>
      </c>
      <c r="D1072" s="110" t="s">
        <v>1071</v>
      </c>
      <c r="E1072" s="472">
        <v>42719</v>
      </c>
      <c r="F1072" s="161" t="s">
        <v>843</v>
      </c>
      <c r="G1072" s="473" t="s">
        <v>841</v>
      </c>
      <c r="H1072" s="112" t="s">
        <v>1072</v>
      </c>
      <c r="I1072" s="133">
        <v>273</v>
      </c>
      <c r="J1072" s="135">
        <v>18260.767428825136</v>
      </c>
      <c r="K1072" s="13">
        <f t="shared" si="53"/>
        <v>4985190</v>
      </c>
      <c r="L1072" s="113" t="s">
        <v>161</v>
      </c>
      <c r="M1072" s="113" t="s">
        <v>159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/>
      </c>
      <c r="Z1072" s="563"/>
    </row>
    <row r="1073" spans="1:26" ht="15.75" customHeight="1">
      <c r="A1073" s="120" t="str">
        <f>IF(B1073&lt;&gt;"",IF(AND(B1073&gt;=_TM1,B1073&lt;=_TM2,OR(TH!L1073="1111",TH!M1073="1111")),TH!D1073,""),"")</f>
        <v/>
      </c>
      <c r="B1073" s="12">
        <f t="shared" si="54"/>
        <v>12</v>
      </c>
      <c r="C1073" s="105">
        <f t="shared" si="52"/>
        <v>42719</v>
      </c>
      <c r="D1073" s="110" t="s">
        <v>1071</v>
      </c>
      <c r="E1073" s="472">
        <v>42719</v>
      </c>
      <c r="F1073" s="161" t="s">
        <v>811</v>
      </c>
      <c r="G1073" s="473" t="s">
        <v>882</v>
      </c>
      <c r="H1073" s="112" t="s">
        <v>1072</v>
      </c>
      <c r="I1073" s="135">
        <v>2400</v>
      </c>
      <c r="J1073" s="135">
        <v>6391.2686000887979</v>
      </c>
      <c r="K1073" s="13">
        <f t="shared" si="53"/>
        <v>15339045</v>
      </c>
      <c r="L1073" s="113" t="s">
        <v>161</v>
      </c>
      <c r="M1073" s="113" t="s">
        <v>159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/>
      </c>
      <c r="Z1073" s="563"/>
    </row>
    <row r="1074" spans="1:26" ht="15.75" customHeight="1">
      <c r="A1074" s="120" t="str">
        <f>IF(B1074&lt;&gt;"",IF(AND(B1074&gt;=_TM1,B1074&lt;=_TM2,OR(TH!L1074="1111",TH!M1074="1111")),TH!D1074,""),"")</f>
        <v/>
      </c>
      <c r="B1074" s="12">
        <f t="shared" si="54"/>
        <v>12</v>
      </c>
      <c r="C1074" s="105">
        <f t="shared" si="52"/>
        <v>42720</v>
      </c>
      <c r="D1074" s="110" t="s">
        <v>1071</v>
      </c>
      <c r="E1074" s="472">
        <v>42720</v>
      </c>
      <c r="F1074" s="161" t="s">
        <v>811</v>
      </c>
      <c r="G1074" s="473" t="s">
        <v>883</v>
      </c>
      <c r="H1074" s="112" t="s">
        <v>1072</v>
      </c>
      <c r="I1074" s="133">
        <v>2400</v>
      </c>
      <c r="J1074" s="135">
        <v>6391.2686000887979</v>
      </c>
      <c r="K1074" s="13">
        <f t="shared" si="53"/>
        <v>15339045</v>
      </c>
      <c r="L1074" s="113" t="s">
        <v>161</v>
      </c>
      <c r="M1074" s="113" t="s">
        <v>159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/>
      </c>
      <c r="Z1074" s="563"/>
    </row>
    <row r="1075" spans="1:26" ht="15.75" customHeight="1">
      <c r="A1075" s="120" t="str">
        <f>IF(B1075&lt;&gt;"",IF(AND(B1075&gt;=_TM1,B1075&lt;=_TM2,OR(TH!L1075="1111",TH!M1075="1111")),TH!D1075,""),"")</f>
        <v/>
      </c>
      <c r="B1075" s="12">
        <f t="shared" si="54"/>
        <v>12</v>
      </c>
      <c r="C1075" s="105">
        <f t="shared" si="52"/>
        <v>42721</v>
      </c>
      <c r="D1075" s="110" t="s">
        <v>1071</v>
      </c>
      <c r="E1075" s="472">
        <v>42721</v>
      </c>
      <c r="F1075" s="161" t="s">
        <v>846</v>
      </c>
      <c r="G1075" s="473" t="s">
        <v>845</v>
      </c>
      <c r="H1075" s="112" t="s">
        <v>1072</v>
      </c>
      <c r="I1075" s="133">
        <v>205</v>
      </c>
      <c r="J1075" s="135">
        <v>5173.8841048337899</v>
      </c>
      <c r="K1075" s="13">
        <f t="shared" si="53"/>
        <v>1060646</v>
      </c>
      <c r="L1075" s="113" t="s">
        <v>161</v>
      </c>
      <c r="M1075" s="113" t="s">
        <v>159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/>
      </c>
      <c r="Z1075" s="563"/>
    </row>
    <row r="1076" spans="1:26" ht="15.75" customHeight="1">
      <c r="A1076" s="120" t="str">
        <f>IF(B1076&lt;&gt;"",IF(AND(B1076&gt;=_TM1,B1076&lt;=_TM2,OR(TH!L1076="1111",TH!M1076="1111")),TH!D1076,""),"")</f>
        <v/>
      </c>
      <c r="B1076" s="12">
        <f t="shared" si="54"/>
        <v>12</v>
      </c>
      <c r="C1076" s="105">
        <f t="shared" si="52"/>
        <v>42721</v>
      </c>
      <c r="D1076" s="110" t="s">
        <v>1071</v>
      </c>
      <c r="E1076" s="472">
        <v>42721</v>
      </c>
      <c r="F1076" s="161" t="s">
        <v>847</v>
      </c>
      <c r="G1076" s="473" t="s">
        <v>845</v>
      </c>
      <c r="H1076" s="112" t="s">
        <v>1072</v>
      </c>
      <c r="I1076" s="133">
        <v>1160</v>
      </c>
      <c r="J1076" s="135">
        <v>6695.6147239025513</v>
      </c>
      <c r="K1076" s="13">
        <f t="shared" si="53"/>
        <v>7766913</v>
      </c>
      <c r="L1076" s="113" t="s">
        <v>161</v>
      </c>
      <c r="M1076" s="113" t="s">
        <v>159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/>
      </c>
      <c r="Z1076" s="563"/>
    </row>
    <row r="1077" spans="1:26" ht="15.75" customHeight="1">
      <c r="A1077" s="120" t="str">
        <f>IF(B1077&lt;&gt;"",IF(AND(B1077&gt;=_TM1,B1077&lt;=_TM2,OR(TH!L1077="1111",TH!M1077="1111")),TH!D1077,""),"")</f>
        <v/>
      </c>
      <c r="B1077" s="12">
        <f t="shared" si="54"/>
        <v>12</v>
      </c>
      <c r="C1077" s="105">
        <f t="shared" si="52"/>
        <v>42721</v>
      </c>
      <c r="D1077" s="110" t="s">
        <v>1071</v>
      </c>
      <c r="E1077" s="472">
        <v>42721</v>
      </c>
      <c r="F1077" s="161" t="s">
        <v>849</v>
      </c>
      <c r="G1077" s="473" t="s">
        <v>848</v>
      </c>
      <c r="H1077" s="112" t="s">
        <v>1072</v>
      </c>
      <c r="I1077" s="134">
        <v>292</v>
      </c>
      <c r="J1077" s="134">
        <v>6695.6147239025513</v>
      </c>
      <c r="K1077" s="13">
        <f t="shared" si="53"/>
        <v>1955119</v>
      </c>
      <c r="L1077" s="113" t="s">
        <v>161</v>
      </c>
      <c r="M1077" s="113" t="s">
        <v>159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/>
      </c>
      <c r="Z1077" s="563"/>
    </row>
    <row r="1078" spans="1:26" ht="15.75" customHeight="1">
      <c r="A1078" s="120" t="str">
        <f>IF(B1078&lt;&gt;"",IF(AND(B1078&gt;=_TM1,B1078&lt;=_TM2,OR(TH!L1078="1111",TH!M1078="1111")),TH!D1078,""),"")</f>
        <v/>
      </c>
      <c r="B1078" s="12">
        <f t="shared" si="54"/>
        <v>12</v>
      </c>
      <c r="C1078" s="105">
        <f t="shared" si="52"/>
        <v>42721</v>
      </c>
      <c r="D1078" s="110" t="s">
        <v>1071</v>
      </c>
      <c r="E1078" s="472">
        <v>42721</v>
      </c>
      <c r="F1078" s="161" t="s">
        <v>850</v>
      </c>
      <c r="G1078" s="473" t="s">
        <v>848</v>
      </c>
      <c r="H1078" s="112" t="s">
        <v>1072</v>
      </c>
      <c r="I1078" s="134">
        <v>180</v>
      </c>
      <c r="J1078" s="134">
        <v>5630.4032905544173</v>
      </c>
      <c r="K1078" s="13">
        <f t="shared" si="53"/>
        <v>1013473</v>
      </c>
      <c r="L1078" s="113" t="s">
        <v>161</v>
      </c>
      <c r="M1078" s="113" t="s">
        <v>159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/>
      </c>
      <c r="Z1078" s="563"/>
    </row>
    <row r="1079" spans="1:26" ht="15.75" customHeight="1">
      <c r="A1079" s="120" t="str">
        <f>IF(B1079&lt;&gt;"",IF(AND(B1079&gt;=_TM1,B1079&lt;=_TM2,OR(TH!L1079="1111",TH!M1079="1111")),TH!D1079,""),"")</f>
        <v/>
      </c>
      <c r="B1079" s="12">
        <f t="shared" si="54"/>
        <v>12</v>
      </c>
      <c r="C1079" s="105">
        <f t="shared" si="52"/>
        <v>42721</v>
      </c>
      <c r="D1079" s="110" t="s">
        <v>1071</v>
      </c>
      <c r="E1079" s="472">
        <v>42721</v>
      </c>
      <c r="F1079" s="161" t="s">
        <v>851</v>
      </c>
      <c r="G1079" s="473" t="s">
        <v>848</v>
      </c>
      <c r="H1079" s="112" t="s">
        <v>1072</v>
      </c>
      <c r="I1079" s="134">
        <v>50</v>
      </c>
      <c r="J1079" s="134">
        <v>4565.1918572062841</v>
      </c>
      <c r="K1079" s="13">
        <f t="shared" si="53"/>
        <v>228260</v>
      </c>
      <c r="L1079" s="113" t="s">
        <v>161</v>
      </c>
      <c r="M1079" s="113" t="s">
        <v>159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/>
      </c>
      <c r="Z1079" s="563"/>
    </row>
    <row r="1080" spans="1:26" ht="15.75" customHeight="1">
      <c r="A1080" s="120" t="str">
        <f>IF(B1080&lt;&gt;"",IF(AND(B1080&gt;=_TM1,B1080&lt;=_TM2,OR(TH!L1080="1111",TH!M1080="1111")),TH!D1080,""),"")</f>
        <v/>
      </c>
      <c r="B1080" s="12">
        <f t="shared" si="54"/>
        <v>12</v>
      </c>
      <c r="C1080" s="105">
        <f t="shared" si="52"/>
        <v>42721</v>
      </c>
      <c r="D1080" s="110" t="s">
        <v>1071</v>
      </c>
      <c r="E1080" s="472">
        <v>42721</v>
      </c>
      <c r="F1080" s="161" t="s">
        <v>852</v>
      </c>
      <c r="G1080" s="473" t="s">
        <v>848</v>
      </c>
      <c r="H1080" s="112" t="s">
        <v>1072</v>
      </c>
      <c r="I1080" s="134">
        <v>554</v>
      </c>
      <c r="J1080" s="134">
        <v>8978.2106525056934</v>
      </c>
      <c r="K1080" s="13">
        <f t="shared" si="53"/>
        <v>4973929</v>
      </c>
      <c r="L1080" s="113" t="s">
        <v>161</v>
      </c>
      <c r="M1080" s="113" t="s">
        <v>159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/>
      </c>
      <c r="Z1080" s="563"/>
    </row>
    <row r="1081" spans="1:26" ht="15.75" customHeight="1">
      <c r="A1081" s="120" t="str">
        <f>IF(B1081&lt;&gt;"",IF(AND(B1081&gt;=_TM1,B1081&lt;=_TM2,OR(TH!L1081="1111",TH!M1081="1111")),TH!D1081,""),"")</f>
        <v/>
      </c>
      <c r="B1081" s="12">
        <f t="shared" si="54"/>
        <v>12</v>
      </c>
      <c r="C1081" s="105">
        <f t="shared" si="52"/>
        <v>42721</v>
      </c>
      <c r="D1081" s="110" t="s">
        <v>1071</v>
      </c>
      <c r="E1081" s="472">
        <v>42721</v>
      </c>
      <c r="F1081" s="161" t="s">
        <v>855</v>
      </c>
      <c r="G1081" s="473" t="s">
        <v>853</v>
      </c>
      <c r="H1081" s="112" t="s">
        <v>1072</v>
      </c>
      <c r="I1081" s="133">
        <v>584</v>
      </c>
      <c r="J1081" s="133">
        <v>684.77877858094269</v>
      </c>
      <c r="K1081" s="13">
        <f t="shared" si="53"/>
        <v>399911</v>
      </c>
      <c r="L1081" s="113" t="s">
        <v>161</v>
      </c>
      <c r="M1081" s="113" t="s">
        <v>159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/>
      </c>
      <c r="Z1081" s="563"/>
    </row>
    <row r="1082" spans="1:26" ht="15.75" customHeight="1">
      <c r="A1082" s="120" t="str">
        <f>IF(B1082&lt;&gt;"",IF(AND(B1082&gt;=_TM1,B1082&lt;=_TM2,OR(TH!L1082="1111",TH!M1082="1111")),TH!D1082,""),"")</f>
        <v/>
      </c>
      <c r="B1082" s="12">
        <f t="shared" si="54"/>
        <v>12</v>
      </c>
      <c r="C1082" s="105">
        <f t="shared" si="52"/>
        <v>42721</v>
      </c>
      <c r="D1082" s="110" t="s">
        <v>1071</v>
      </c>
      <c r="E1082" s="472">
        <v>42721</v>
      </c>
      <c r="F1082" s="161" t="s">
        <v>856</v>
      </c>
      <c r="G1082" s="473" t="s">
        <v>853</v>
      </c>
      <c r="H1082" s="112" t="s">
        <v>1072</v>
      </c>
      <c r="I1082" s="133">
        <v>360</v>
      </c>
      <c r="J1082" s="133">
        <v>608.69224762750468</v>
      </c>
      <c r="K1082" s="13">
        <f t="shared" si="53"/>
        <v>219129</v>
      </c>
      <c r="L1082" s="113" t="s">
        <v>161</v>
      </c>
      <c r="M1082" s="113" t="s">
        <v>159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/>
      </c>
      <c r="Z1082" s="563"/>
    </row>
    <row r="1083" spans="1:26" ht="15.75" customHeight="1">
      <c r="A1083" s="120" t="str">
        <f>IF(B1083&lt;&gt;"",IF(AND(B1083&gt;=_TM1,B1083&lt;=_TM2,OR(TH!L1083="1111",TH!M1083="1111")),TH!D1083,""),"")</f>
        <v/>
      </c>
      <c r="B1083" s="12">
        <f t="shared" si="54"/>
        <v>12</v>
      </c>
      <c r="C1083" s="105">
        <f t="shared" si="52"/>
        <v>42721</v>
      </c>
      <c r="D1083" s="110" t="s">
        <v>1071</v>
      </c>
      <c r="E1083" s="472">
        <v>42721</v>
      </c>
      <c r="F1083" s="161" t="s">
        <v>857</v>
      </c>
      <c r="G1083" s="473" t="s">
        <v>853</v>
      </c>
      <c r="H1083" s="112" t="s">
        <v>1072</v>
      </c>
      <c r="I1083" s="133">
        <v>100</v>
      </c>
      <c r="J1083" s="133">
        <v>456.51918572062846</v>
      </c>
      <c r="K1083" s="13">
        <f t="shared" si="53"/>
        <v>45652</v>
      </c>
      <c r="L1083" s="113" t="s">
        <v>161</v>
      </c>
      <c r="M1083" s="113" t="s">
        <v>159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/>
      </c>
      <c r="Z1083" s="563"/>
    </row>
    <row r="1084" spans="1:26" ht="15.75" customHeight="1">
      <c r="A1084" s="120" t="str">
        <f>IF(B1084&lt;&gt;"",IF(AND(B1084&gt;=_TM1,B1084&lt;=_TM2,OR(TH!L1084="1111",TH!M1084="1111")),TH!D1084,""),"")</f>
        <v/>
      </c>
      <c r="B1084" s="12">
        <f t="shared" si="54"/>
        <v>12</v>
      </c>
      <c r="C1084" s="105">
        <f t="shared" si="52"/>
        <v>42721</v>
      </c>
      <c r="D1084" s="110" t="s">
        <v>1071</v>
      </c>
      <c r="E1084" s="472">
        <v>42721</v>
      </c>
      <c r="F1084" s="161" t="s">
        <v>858</v>
      </c>
      <c r="G1084" s="473" t="s">
        <v>853</v>
      </c>
      <c r="H1084" s="112" t="s">
        <v>1072</v>
      </c>
      <c r="I1084" s="133">
        <v>1108</v>
      </c>
      <c r="J1084" s="133">
        <v>989.12490239469503</v>
      </c>
      <c r="K1084" s="13">
        <f t="shared" si="53"/>
        <v>1095950</v>
      </c>
      <c r="L1084" s="113" t="s">
        <v>161</v>
      </c>
      <c r="M1084" s="113" t="s">
        <v>159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/>
      </c>
      <c r="Z1084" s="563"/>
    </row>
    <row r="1085" spans="1:26" ht="15.75" customHeight="1">
      <c r="A1085" s="120" t="str">
        <f>IF(B1085&lt;&gt;"",IF(AND(B1085&gt;=_TM1,B1085&lt;=_TM2,OR(TH!L1085="1111",TH!M1085="1111")),TH!D1085,""),"")</f>
        <v/>
      </c>
      <c r="B1085" s="12">
        <f t="shared" si="54"/>
        <v>12</v>
      </c>
      <c r="C1085" s="105">
        <f t="shared" si="52"/>
        <v>42721</v>
      </c>
      <c r="D1085" s="110" t="s">
        <v>1071</v>
      </c>
      <c r="E1085" s="472">
        <v>42721</v>
      </c>
      <c r="F1085" s="161" t="s">
        <v>811</v>
      </c>
      <c r="G1085" s="473" t="s">
        <v>884</v>
      </c>
      <c r="H1085" s="112" t="s">
        <v>1072</v>
      </c>
      <c r="I1085" s="133">
        <v>2400</v>
      </c>
      <c r="J1085" s="133">
        <v>6391.2686000887979</v>
      </c>
      <c r="K1085" s="13">
        <f t="shared" si="53"/>
        <v>15339045</v>
      </c>
      <c r="L1085" s="113" t="s">
        <v>161</v>
      </c>
      <c r="M1085" s="113" t="s">
        <v>159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/>
      </c>
      <c r="Z1085" s="563"/>
    </row>
    <row r="1086" spans="1:26" ht="15.75" customHeight="1">
      <c r="A1086" s="120" t="str">
        <f>IF(B1086&lt;&gt;"",IF(AND(B1086&gt;=_TM1,B1086&lt;=_TM2,OR(TH!L1086="1111",TH!M1086="1111")),TH!D1086,""),"")</f>
        <v/>
      </c>
      <c r="B1086" s="12">
        <f t="shared" si="54"/>
        <v>12</v>
      </c>
      <c r="C1086" s="105">
        <f t="shared" si="52"/>
        <v>42722</v>
      </c>
      <c r="D1086" s="110" t="s">
        <v>1071</v>
      </c>
      <c r="E1086" s="472">
        <v>42722</v>
      </c>
      <c r="F1086" s="161" t="s">
        <v>811</v>
      </c>
      <c r="G1086" s="473" t="s">
        <v>885</v>
      </c>
      <c r="H1086" s="112" t="s">
        <v>1072</v>
      </c>
      <c r="I1086" s="133">
        <v>2400</v>
      </c>
      <c r="J1086" s="133">
        <v>6391.2686000887979</v>
      </c>
      <c r="K1086" s="13">
        <f t="shared" si="53"/>
        <v>15339045</v>
      </c>
      <c r="L1086" s="113" t="s">
        <v>161</v>
      </c>
      <c r="M1086" s="113" t="s">
        <v>159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/>
      </c>
      <c r="Z1086" s="563"/>
    </row>
    <row r="1087" spans="1:26" ht="15.75" customHeight="1">
      <c r="A1087" s="120" t="str">
        <f>IF(B1087&lt;&gt;"",IF(AND(B1087&gt;=_TM1,B1087&lt;=_TM2,OR(TH!L1087="1111",TH!M1087="1111")),TH!D1087,""),"")</f>
        <v/>
      </c>
      <c r="B1087" s="12">
        <f t="shared" si="54"/>
        <v>12</v>
      </c>
      <c r="C1087" s="105">
        <f t="shared" si="52"/>
        <v>42723</v>
      </c>
      <c r="D1087" s="110" t="s">
        <v>1071</v>
      </c>
      <c r="E1087" s="472">
        <v>42723</v>
      </c>
      <c r="F1087" s="161" t="s">
        <v>811</v>
      </c>
      <c r="G1087" s="473" t="s">
        <v>886</v>
      </c>
      <c r="H1087" s="112" t="s">
        <v>1072</v>
      </c>
      <c r="I1087" s="133">
        <v>2400</v>
      </c>
      <c r="J1087" s="133">
        <v>6391.2686000887979</v>
      </c>
      <c r="K1087" s="13">
        <f t="shared" si="53"/>
        <v>15339045</v>
      </c>
      <c r="L1087" s="113" t="s">
        <v>161</v>
      </c>
      <c r="M1087" s="113" t="s">
        <v>159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/>
      </c>
      <c r="Z1087" s="563"/>
    </row>
    <row r="1088" spans="1:26" ht="15.75" customHeight="1">
      <c r="A1088" s="120" t="str">
        <f>IF(B1088&lt;&gt;"",IF(AND(B1088&gt;=_TM1,B1088&lt;=_TM2,OR(TH!L1088="1111",TH!M1088="1111")),TH!D1088,""),"")</f>
        <v/>
      </c>
      <c r="B1088" s="12">
        <f t="shared" si="54"/>
        <v>12</v>
      </c>
      <c r="C1088" s="105">
        <f t="shared" ref="C1088:C1135" si="55">E1088</f>
        <v>42724</v>
      </c>
      <c r="D1088" s="110" t="s">
        <v>1071</v>
      </c>
      <c r="E1088" s="472">
        <v>42724</v>
      </c>
      <c r="F1088" s="161" t="s">
        <v>689</v>
      </c>
      <c r="G1088" s="473" t="s">
        <v>887</v>
      </c>
      <c r="H1088" s="112" t="s">
        <v>1072</v>
      </c>
      <c r="I1088" s="133">
        <v>872</v>
      </c>
      <c r="J1088" s="133">
        <v>5173.8841048337899</v>
      </c>
      <c r="K1088" s="13">
        <f t="shared" si="53"/>
        <v>4511627</v>
      </c>
      <c r="L1088" s="113" t="s">
        <v>161</v>
      </c>
      <c r="M1088" s="113" t="s">
        <v>159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/>
      </c>
      <c r="Z1088" s="563"/>
    </row>
    <row r="1089" spans="1:26" ht="15.75" customHeight="1">
      <c r="A1089" s="120" t="str">
        <f>IF(B1089&lt;&gt;"",IF(AND(B1089&gt;=_TM1,B1089&lt;=_TM2,OR(TH!L1089="1111",TH!M1089="1111")),TH!D1089,""),"")</f>
        <v/>
      </c>
      <c r="B1089" s="12">
        <f t="shared" si="54"/>
        <v>12</v>
      </c>
      <c r="C1089" s="105">
        <f t="shared" si="55"/>
        <v>42724</v>
      </c>
      <c r="D1089" s="110" t="s">
        <v>1071</v>
      </c>
      <c r="E1089" s="472">
        <v>42724</v>
      </c>
      <c r="F1089" s="161" t="s">
        <v>891</v>
      </c>
      <c r="G1089" s="473" t="s">
        <v>890</v>
      </c>
      <c r="H1089" s="112" t="s">
        <v>1072</v>
      </c>
      <c r="I1089" s="133">
        <v>70</v>
      </c>
      <c r="J1089" s="133">
        <v>16358.604154989185</v>
      </c>
      <c r="K1089" s="13">
        <f t="shared" si="53"/>
        <v>1145102</v>
      </c>
      <c r="L1089" s="113" t="s">
        <v>161</v>
      </c>
      <c r="M1089" s="113" t="s">
        <v>159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/>
      </c>
      <c r="Z1089" s="563"/>
    </row>
    <row r="1090" spans="1:26" ht="15.75" customHeight="1">
      <c r="A1090" s="120" t="str">
        <f>IF(B1090&lt;&gt;"",IF(AND(B1090&gt;=_TM1,B1090&lt;=_TM2,OR(TH!L1090="1111",TH!M1090="1111")),TH!D1090,""),"")</f>
        <v/>
      </c>
      <c r="B1090" s="12">
        <f t="shared" si="54"/>
        <v>12</v>
      </c>
      <c r="C1090" s="105">
        <f t="shared" si="55"/>
        <v>42724</v>
      </c>
      <c r="D1090" s="110" t="s">
        <v>1071</v>
      </c>
      <c r="E1090" s="472">
        <v>42724</v>
      </c>
      <c r="F1090" s="161" t="s">
        <v>894</v>
      </c>
      <c r="G1090" s="473" t="s">
        <v>893</v>
      </c>
      <c r="H1090" s="112" t="s">
        <v>1072</v>
      </c>
      <c r="I1090" s="133">
        <v>126</v>
      </c>
      <c r="J1090" s="133">
        <v>13086.883323991349</v>
      </c>
      <c r="K1090" s="13">
        <f t="shared" si="53"/>
        <v>1648947</v>
      </c>
      <c r="L1090" s="113" t="s">
        <v>161</v>
      </c>
      <c r="M1090" s="113" t="s">
        <v>159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/>
      </c>
      <c r="Z1090" s="563"/>
    </row>
    <row r="1091" spans="1:26" ht="15.75" customHeight="1">
      <c r="A1091" s="120" t="str">
        <f>IF(B1091&lt;&gt;"",IF(AND(B1091&gt;=_TM1,B1091&lt;=_TM2,OR(TH!L1091="1111",TH!M1091="1111")),TH!D1091,""),"")</f>
        <v/>
      </c>
      <c r="B1091" s="12">
        <f t="shared" si="54"/>
        <v>12</v>
      </c>
      <c r="C1091" s="105">
        <f t="shared" si="55"/>
        <v>42724</v>
      </c>
      <c r="D1091" s="110" t="s">
        <v>1071</v>
      </c>
      <c r="E1091" s="472">
        <v>42724</v>
      </c>
      <c r="F1091" s="161" t="s">
        <v>895</v>
      </c>
      <c r="G1091" s="473" t="s">
        <v>893</v>
      </c>
      <c r="H1091" s="112" t="s">
        <v>1072</v>
      </c>
      <c r="I1091" s="134">
        <v>126</v>
      </c>
      <c r="J1091" s="134">
        <v>684.77877858094269</v>
      </c>
      <c r="K1091" s="13">
        <f t="shared" si="53"/>
        <v>86282</v>
      </c>
      <c r="L1091" s="113" t="s">
        <v>161</v>
      </c>
      <c r="M1091" s="113" t="s">
        <v>159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/>
      </c>
      <c r="Z1091" s="563"/>
    </row>
    <row r="1092" spans="1:26" ht="15.75" customHeight="1">
      <c r="A1092" s="120" t="str">
        <f>IF(B1092&lt;&gt;"",IF(AND(B1092&gt;=_TM1,B1092&lt;=_TM2,OR(TH!L1092="1111",TH!M1092="1111")),TH!D1092,""),"")</f>
        <v/>
      </c>
      <c r="B1092" s="12">
        <f t="shared" si="54"/>
        <v>12</v>
      </c>
      <c r="C1092" s="105">
        <f t="shared" si="55"/>
        <v>42724</v>
      </c>
      <c r="D1092" s="110" t="s">
        <v>1071</v>
      </c>
      <c r="E1092" s="472">
        <v>42724</v>
      </c>
      <c r="F1092" s="161" t="s">
        <v>811</v>
      </c>
      <c r="G1092" s="473" t="s">
        <v>897</v>
      </c>
      <c r="H1092" s="112" t="s">
        <v>1072</v>
      </c>
      <c r="I1092" s="133">
        <v>2400</v>
      </c>
      <c r="J1092" s="133">
        <v>6391.2686000887979</v>
      </c>
      <c r="K1092" s="13">
        <f t="shared" si="53"/>
        <v>15339045</v>
      </c>
      <c r="L1092" s="113" t="s">
        <v>161</v>
      </c>
      <c r="M1092" s="113" t="s">
        <v>159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/>
      </c>
      <c r="Z1092" s="563"/>
    </row>
    <row r="1093" spans="1:26" ht="15.75" customHeight="1">
      <c r="A1093" s="120" t="str">
        <f>IF(B1093&lt;&gt;"",IF(AND(B1093&gt;=_TM1,B1093&lt;=_TM2,OR(TH!L1093="1111",TH!M1093="1111")),TH!D1093,""),"")</f>
        <v/>
      </c>
      <c r="B1093" s="12">
        <f t="shared" si="54"/>
        <v>12</v>
      </c>
      <c r="C1093" s="105">
        <f t="shared" si="55"/>
        <v>42725</v>
      </c>
      <c r="D1093" s="110" t="s">
        <v>1071</v>
      </c>
      <c r="E1093" s="472">
        <v>42725</v>
      </c>
      <c r="F1093" s="161" t="s">
        <v>811</v>
      </c>
      <c r="G1093" s="473" t="s">
        <v>898</v>
      </c>
      <c r="H1093" s="112" t="s">
        <v>1072</v>
      </c>
      <c r="I1093" s="133">
        <v>2400</v>
      </c>
      <c r="J1093" s="133">
        <v>6391.2686000887979</v>
      </c>
      <c r="K1093" s="13">
        <f t="shared" si="53"/>
        <v>15339045</v>
      </c>
      <c r="L1093" s="113" t="s">
        <v>161</v>
      </c>
      <c r="M1093" s="113" t="s">
        <v>159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/>
      </c>
      <c r="Z1093" s="563"/>
    </row>
    <row r="1094" spans="1:26" ht="15.75" customHeight="1">
      <c r="A1094" s="120" t="str">
        <f>IF(B1094&lt;&gt;"",IF(AND(B1094&gt;=_TM1,B1094&lt;=_TM2,OR(TH!L1094="1111",TH!M1094="1111")),TH!D1094,""),"")</f>
        <v/>
      </c>
      <c r="B1094" s="12">
        <f t="shared" si="54"/>
        <v>12</v>
      </c>
      <c r="C1094" s="105">
        <f t="shared" si="55"/>
        <v>42726</v>
      </c>
      <c r="D1094" s="110" t="s">
        <v>1071</v>
      </c>
      <c r="E1094" s="472">
        <v>42726</v>
      </c>
      <c r="F1094" s="161" t="s">
        <v>900</v>
      </c>
      <c r="G1094" s="473" t="s">
        <v>899</v>
      </c>
      <c r="H1094" s="112" t="s">
        <v>1072</v>
      </c>
      <c r="I1094" s="134">
        <v>285</v>
      </c>
      <c r="J1094" s="134">
        <v>9891.2490239469498</v>
      </c>
      <c r="K1094" s="13">
        <f t="shared" si="53"/>
        <v>2819006</v>
      </c>
      <c r="L1094" s="113" t="s">
        <v>161</v>
      </c>
      <c r="M1094" s="113" t="s">
        <v>159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/>
      </c>
      <c r="Z1094" s="563"/>
    </row>
    <row r="1095" spans="1:26" ht="15.75" customHeight="1">
      <c r="A1095" s="120" t="str">
        <f>IF(B1095&lt;&gt;"",IF(AND(B1095&gt;=_TM1,B1095&lt;=_TM2,OR(TH!L1095="1111",TH!M1095="1111")),TH!D1095,""),"")</f>
        <v/>
      </c>
      <c r="B1095" s="12">
        <f t="shared" si="54"/>
        <v>12</v>
      </c>
      <c r="C1095" s="105">
        <f t="shared" si="55"/>
        <v>42726</v>
      </c>
      <c r="D1095" s="110" t="s">
        <v>1071</v>
      </c>
      <c r="E1095" s="472">
        <v>42726</v>
      </c>
      <c r="F1095" s="161" t="s">
        <v>901</v>
      </c>
      <c r="G1095" s="473" t="s">
        <v>899</v>
      </c>
      <c r="H1095" s="112" t="s">
        <v>1072</v>
      </c>
      <c r="I1095" s="133">
        <v>110</v>
      </c>
      <c r="J1095" s="133">
        <v>9434.7298382263216</v>
      </c>
      <c r="K1095" s="13">
        <f t="shared" si="53"/>
        <v>1037820</v>
      </c>
      <c r="L1095" s="113" t="s">
        <v>161</v>
      </c>
      <c r="M1095" s="113" t="s">
        <v>159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/>
      </c>
      <c r="Z1095" s="563"/>
    </row>
    <row r="1096" spans="1:26" ht="15.75" customHeight="1">
      <c r="A1096" s="120" t="str">
        <f>IF(B1096&lt;&gt;"",IF(AND(B1096&gt;=_TM1,B1096&lt;=_TM2,OR(TH!L1096="1111",TH!M1096="1111")),TH!D1096,""),"")</f>
        <v/>
      </c>
      <c r="B1096" s="12">
        <f t="shared" si="54"/>
        <v>12</v>
      </c>
      <c r="C1096" s="105">
        <f t="shared" si="55"/>
        <v>42726</v>
      </c>
      <c r="D1096" s="110" t="s">
        <v>1071</v>
      </c>
      <c r="E1096" s="472">
        <v>42726</v>
      </c>
      <c r="F1096" s="161" t="s">
        <v>902</v>
      </c>
      <c r="G1096" s="473" t="s">
        <v>899</v>
      </c>
      <c r="H1096" s="112" t="s">
        <v>1072</v>
      </c>
      <c r="I1096" s="134">
        <v>160</v>
      </c>
      <c r="J1096" s="134">
        <v>9739.075962040075</v>
      </c>
      <c r="K1096" s="13">
        <f t="shared" si="53"/>
        <v>1558252</v>
      </c>
      <c r="L1096" s="113" t="s">
        <v>161</v>
      </c>
      <c r="M1096" s="113" t="s">
        <v>159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/>
      </c>
      <c r="Z1096" s="563"/>
    </row>
    <row r="1097" spans="1:26" ht="15.75" customHeight="1">
      <c r="A1097" s="120" t="str">
        <f>IF(B1097&lt;&gt;"",IF(AND(B1097&gt;=_TM1,B1097&lt;=_TM2,OR(TH!L1097="1111",TH!M1097="1111")),TH!D1097,""),"")</f>
        <v/>
      </c>
      <c r="B1097" s="12">
        <f t="shared" si="54"/>
        <v>12</v>
      </c>
      <c r="C1097" s="105">
        <f t="shared" si="55"/>
        <v>42726</v>
      </c>
      <c r="D1097" s="110" t="s">
        <v>1071</v>
      </c>
      <c r="E1097" s="472">
        <v>42726</v>
      </c>
      <c r="F1097" s="161" t="s">
        <v>499</v>
      </c>
      <c r="G1097" s="473" t="s">
        <v>899</v>
      </c>
      <c r="H1097" s="112" t="s">
        <v>1072</v>
      </c>
      <c r="I1097" s="133">
        <v>550</v>
      </c>
      <c r="J1097" s="133">
        <v>10195.595147760703</v>
      </c>
      <c r="K1097" s="13">
        <f t="shared" si="53"/>
        <v>5607577</v>
      </c>
      <c r="L1097" s="113" t="s">
        <v>161</v>
      </c>
      <c r="M1097" s="113" t="s">
        <v>159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/>
      </c>
      <c r="Z1097" s="563"/>
    </row>
    <row r="1098" spans="1:26" ht="15.75" customHeight="1">
      <c r="A1098" s="120" t="str">
        <f>IF(B1098&lt;&gt;"",IF(AND(B1098&gt;=_TM1,B1098&lt;=_TM2,OR(TH!L1098="1111",TH!M1098="1111")),TH!D1098,""),"")</f>
        <v/>
      </c>
      <c r="B1098" s="12">
        <f t="shared" si="54"/>
        <v>12</v>
      </c>
      <c r="C1098" s="105">
        <f t="shared" si="55"/>
        <v>42726</v>
      </c>
      <c r="D1098" s="110" t="s">
        <v>1071</v>
      </c>
      <c r="E1098" s="472">
        <v>42726</v>
      </c>
      <c r="F1098" s="161" t="s">
        <v>904</v>
      </c>
      <c r="G1098" s="473" t="s">
        <v>903</v>
      </c>
      <c r="H1098" s="112" t="s">
        <v>1072</v>
      </c>
      <c r="I1098" s="133">
        <v>275</v>
      </c>
      <c r="J1098" s="133">
        <v>12630.364138270721</v>
      </c>
      <c r="K1098" s="13">
        <f t="shared" si="53"/>
        <v>3473350</v>
      </c>
      <c r="L1098" s="113" t="s">
        <v>161</v>
      </c>
      <c r="M1098" s="113" t="s">
        <v>159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/>
      </c>
      <c r="Z1098" s="563"/>
    </row>
    <row r="1099" spans="1:26" ht="15.75" customHeight="1">
      <c r="A1099" s="120" t="str">
        <f>IF(B1099&lt;&gt;"",IF(AND(B1099&gt;=_TM1,B1099&lt;=_TM2,OR(TH!L1099="1111",TH!M1099="1111")),TH!D1099,""),"")</f>
        <v/>
      </c>
      <c r="B1099" s="12">
        <f t="shared" si="54"/>
        <v>12</v>
      </c>
      <c r="C1099" s="105">
        <f t="shared" si="55"/>
        <v>42726</v>
      </c>
      <c r="D1099" s="110" t="s">
        <v>1071</v>
      </c>
      <c r="E1099" s="472">
        <v>42726</v>
      </c>
      <c r="F1099" s="161" t="s">
        <v>905</v>
      </c>
      <c r="G1099" s="473" t="s">
        <v>903</v>
      </c>
      <c r="H1099" s="112" t="s">
        <v>1072</v>
      </c>
      <c r="I1099" s="133">
        <v>66</v>
      </c>
      <c r="J1099" s="133">
        <v>10728.200864434768</v>
      </c>
      <c r="K1099" s="13">
        <f t="shared" si="53"/>
        <v>708061</v>
      </c>
      <c r="L1099" s="113" t="s">
        <v>161</v>
      </c>
      <c r="M1099" s="113" t="s">
        <v>159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/>
      </c>
      <c r="Z1099" s="563"/>
    </row>
    <row r="1100" spans="1:26" ht="15.75" customHeight="1">
      <c r="A1100" s="120" t="str">
        <f>IF(B1100&lt;&gt;"",IF(AND(B1100&gt;=_TM1,B1100&lt;=_TM2,OR(TH!L1100="1111",TH!M1100="1111")),TH!D1100,""),"")</f>
        <v/>
      </c>
      <c r="B1100" s="12">
        <f t="shared" si="54"/>
        <v>12</v>
      </c>
      <c r="C1100" s="105">
        <f t="shared" si="55"/>
        <v>42726</v>
      </c>
      <c r="D1100" s="110" t="s">
        <v>1071</v>
      </c>
      <c r="E1100" s="472">
        <v>42726</v>
      </c>
      <c r="F1100" s="161" t="s">
        <v>499</v>
      </c>
      <c r="G1100" s="473" t="s">
        <v>903</v>
      </c>
      <c r="H1100" s="112" t="s">
        <v>1072</v>
      </c>
      <c r="I1100" s="133">
        <v>165</v>
      </c>
      <c r="J1100" s="133">
        <v>10195.595147760703</v>
      </c>
      <c r="K1100" s="13">
        <f t="shared" si="53"/>
        <v>1682273</v>
      </c>
      <c r="L1100" s="113" t="s">
        <v>161</v>
      </c>
      <c r="M1100" s="113" t="s">
        <v>159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/>
      </c>
      <c r="Z1100" s="563"/>
    </row>
    <row r="1101" spans="1:26" ht="15.75" customHeight="1">
      <c r="A1101" s="120" t="str">
        <f>IF(B1101&lt;&gt;"",IF(AND(B1101&gt;=_TM1,B1101&lt;=_TM2,OR(TH!L1101="1111",TH!M1101="1111")),TH!D1101,""),"")</f>
        <v/>
      </c>
      <c r="B1101" s="12">
        <f t="shared" si="54"/>
        <v>12</v>
      </c>
      <c r="C1101" s="105">
        <f t="shared" si="55"/>
        <v>42726</v>
      </c>
      <c r="D1101" s="110" t="s">
        <v>1071</v>
      </c>
      <c r="E1101" s="472">
        <v>42726</v>
      </c>
      <c r="F1101" s="161" t="s">
        <v>507</v>
      </c>
      <c r="G1101" s="473" t="s">
        <v>903</v>
      </c>
      <c r="H1101" s="112" t="s">
        <v>1072</v>
      </c>
      <c r="I1101" s="133">
        <v>550</v>
      </c>
      <c r="J1101" s="133">
        <v>1521.7306190687616</v>
      </c>
      <c r="K1101" s="13">
        <f t="shared" si="53"/>
        <v>836952</v>
      </c>
      <c r="L1101" s="113" t="s">
        <v>161</v>
      </c>
      <c r="M1101" s="113" t="s">
        <v>159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/>
      </c>
      <c r="Z1101" s="563"/>
    </row>
    <row r="1102" spans="1:26" ht="15.75" customHeight="1">
      <c r="A1102" s="120" t="str">
        <f>IF(B1102&lt;&gt;"",IF(AND(B1102&gt;=_TM1,B1102&lt;=_TM2,OR(TH!L1102="1111",TH!M1102="1111")),TH!D1102,""),"")</f>
        <v/>
      </c>
      <c r="B1102" s="12">
        <f t="shared" si="54"/>
        <v>12</v>
      </c>
      <c r="C1102" s="105">
        <f t="shared" si="55"/>
        <v>42726</v>
      </c>
      <c r="D1102" s="110" t="s">
        <v>1071</v>
      </c>
      <c r="E1102" s="472">
        <v>42726</v>
      </c>
      <c r="F1102" s="161" t="s">
        <v>906</v>
      </c>
      <c r="G1102" s="473" t="s">
        <v>903</v>
      </c>
      <c r="H1102" s="112" t="s">
        <v>1072</v>
      </c>
      <c r="I1102" s="133">
        <v>132</v>
      </c>
      <c r="J1102" s="133">
        <v>1369.5575571618854</v>
      </c>
      <c r="K1102" s="13">
        <f t="shared" si="53"/>
        <v>180782</v>
      </c>
      <c r="L1102" s="113" t="s">
        <v>161</v>
      </c>
      <c r="M1102" s="113" t="s">
        <v>159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/>
      </c>
      <c r="Z1102" s="563"/>
    </row>
    <row r="1103" spans="1:26" ht="15.75" customHeight="1">
      <c r="A1103" s="120" t="str">
        <f>IF(B1103&lt;&gt;"",IF(AND(B1103&gt;=_TM1,B1103&lt;=_TM2,OR(TH!L1103="1111",TH!M1103="1111")),TH!D1103,""),"")</f>
        <v/>
      </c>
      <c r="B1103" s="12">
        <f t="shared" si="54"/>
        <v>12</v>
      </c>
      <c r="C1103" s="105">
        <f t="shared" si="55"/>
        <v>42726</v>
      </c>
      <c r="D1103" s="110" t="s">
        <v>1071</v>
      </c>
      <c r="E1103" s="472">
        <v>42726</v>
      </c>
      <c r="F1103" s="161" t="s">
        <v>498</v>
      </c>
      <c r="G1103" s="473" t="s">
        <v>907</v>
      </c>
      <c r="H1103" s="112" t="s">
        <v>1072</v>
      </c>
      <c r="I1103" s="133">
        <v>571</v>
      </c>
      <c r="J1103" s="133">
        <v>9739.075962040075</v>
      </c>
      <c r="K1103" s="13">
        <f t="shared" si="53"/>
        <v>5561012</v>
      </c>
      <c r="L1103" s="113" t="s">
        <v>161</v>
      </c>
      <c r="M1103" s="113" t="s">
        <v>159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/>
      </c>
      <c r="Z1103" s="563"/>
    </row>
    <row r="1104" spans="1:26" ht="15.75" customHeight="1">
      <c r="A1104" s="120" t="str">
        <f>IF(B1104&lt;&gt;"",IF(AND(B1104&gt;=_TM1,B1104&lt;=_TM2,OR(TH!L1104="1111",TH!M1104="1111")),TH!D1104,""),"")</f>
        <v/>
      </c>
      <c r="B1104" s="12">
        <f t="shared" si="54"/>
        <v>12</v>
      </c>
      <c r="C1104" s="105">
        <f t="shared" si="55"/>
        <v>42726</v>
      </c>
      <c r="D1104" s="110" t="s">
        <v>1071</v>
      </c>
      <c r="E1104" s="472">
        <v>42726</v>
      </c>
      <c r="F1104" s="161" t="s">
        <v>498</v>
      </c>
      <c r="G1104" s="473" t="s">
        <v>908</v>
      </c>
      <c r="H1104" s="112" t="s">
        <v>1072</v>
      </c>
      <c r="I1104" s="135">
        <v>633</v>
      </c>
      <c r="J1104" s="133">
        <v>9739.075962040075</v>
      </c>
      <c r="K1104" s="13">
        <f t="shared" si="53"/>
        <v>6164835</v>
      </c>
      <c r="L1104" s="113" t="s">
        <v>161</v>
      </c>
      <c r="M1104" s="113" t="s">
        <v>159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/>
      </c>
      <c r="Z1104" s="563"/>
    </row>
    <row r="1105" spans="1:26" ht="15.75" customHeight="1">
      <c r="A1105" s="120" t="str">
        <f>IF(B1105&lt;&gt;"",IF(AND(B1105&gt;=_TM1,B1105&lt;=_TM2,OR(TH!L1105="1111",TH!M1105="1111")),TH!D1105,""),"")</f>
        <v/>
      </c>
      <c r="B1105" s="12">
        <f t="shared" si="54"/>
        <v>12</v>
      </c>
      <c r="C1105" s="105">
        <f t="shared" si="55"/>
        <v>42726</v>
      </c>
      <c r="D1105" s="110" t="s">
        <v>1071</v>
      </c>
      <c r="E1105" s="472">
        <v>42726</v>
      </c>
      <c r="F1105" s="161" t="s">
        <v>527</v>
      </c>
      <c r="G1105" s="473" t="s">
        <v>909</v>
      </c>
      <c r="H1105" s="112" t="s">
        <v>1072</v>
      </c>
      <c r="I1105" s="133">
        <v>288</v>
      </c>
      <c r="J1105" s="133">
        <v>55162.734941242605</v>
      </c>
      <c r="K1105" s="13">
        <f t="shared" si="53"/>
        <v>15886868</v>
      </c>
      <c r="L1105" s="113" t="s">
        <v>161</v>
      </c>
      <c r="M1105" s="113" t="s">
        <v>159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/>
      </c>
      <c r="Z1105" s="563"/>
    </row>
    <row r="1106" spans="1:26" ht="15.75" customHeight="1">
      <c r="A1106" s="120" t="str">
        <f>IF(B1106&lt;&gt;"",IF(AND(B1106&gt;=_TM1,B1106&lt;=_TM2,OR(TH!L1106="1111",TH!M1106="1111")),TH!D1106,""),"")</f>
        <v/>
      </c>
      <c r="B1106" s="12">
        <f t="shared" si="54"/>
        <v>12</v>
      </c>
      <c r="C1106" s="105">
        <f t="shared" si="55"/>
        <v>42726</v>
      </c>
      <c r="D1106" s="110" t="s">
        <v>1071</v>
      </c>
      <c r="E1106" s="472">
        <v>42726</v>
      </c>
      <c r="F1106" s="161" t="s">
        <v>910</v>
      </c>
      <c r="G1106" s="473" t="s">
        <v>909</v>
      </c>
      <c r="H1106" s="112" t="s">
        <v>1072</v>
      </c>
      <c r="I1106" s="133">
        <v>24</v>
      </c>
      <c r="J1106" s="133">
        <v>39717.169157694676</v>
      </c>
      <c r="K1106" s="13">
        <f t="shared" si="53"/>
        <v>953212</v>
      </c>
      <c r="L1106" s="113" t="s">
        <v>161</v>
      </c>
      <c r="M1106" s="113" t="s">
        <v>159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/>
      </c>
      <c r="Z1106" s="563"/>
    </row>
    <row r="1107" spans="1:26" ht="15.75" customHeight="1">
      <c r="A1107" s="120" t="str">
        <f>IF(B1107&lt;&gt;"",IF(AND(B1107&gt;=_TM1,B1107&lt;=_TM2,OR(TH!L1107="1111",TH!M1107="1111")),TH!D1107,""),"")</f>
        <v/>
      </c>
      <c r="B1107" s="12">
        <f t="shared" si="54"/>
        <v>12</v>
      </c>
      <c r="C1107" s="105">
        <f t="shared" si="55"/>
        <v>42726</v>
      </c>
      <c r="D1107" s="110" t="s">
        <v>1071</v>
      </c>
      <c r="E1107" s="472">
        <v>42726</v>
      </c>
      <c r="F1107" s="161" t="s">
        <v>811</v>
      </c>
      <c r="G1107" s="473" t="s">
        <v>911</v>
      </c>
      <c r="H1107" s="112" t="s">
        <v>1072</v>
      </c>
      <c r="I1107" s="134">
        <v>550</v>
      </c>
      <c r="J1107" s="134">
        <v>6391.2686000887979</v>
      </c>
      <c r="K1107" s="13">
        <f t="shared" si="53"/>
        <v>3515198</v>
      </c>
      <c r="L1107" s="113" t="s">
        <v>161</v>
      </c>
      <c r="M1107" s="113" t="s">
        <v>159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/>
      </c>
      <c r="Z1107" s="563"/>
    </row>
    <row r="1108" spans="1:26" ht="15.75" customHeight="1">
      <c r="A1108" s="120" t="str">
        <f>IF(B1108&lt;&gt;"",IF(AND(B1108&gt;=_TM1,B1108&lt;=_TM2,OR(TH!L1108="1111",TH!M1108="1111")),TH!D1108,""),"")</f>
        <v/>
      </c>
      <c r="B1108" s="12">
        <f t="shared" si="54"/>
        <v>12</v>
      </c>
      <c r="C1108" s="105">
        <f t="shared" si="55"/>
        <v>42727</v>
      </c>
      <c r="D1108" s="110" t="s">
        <v>1071</v>
      </c>
      <c r="E1108" s="472">
        <v>42727</v>
      </c>
      <c r="F1108" s="161" t="s">
        <v>811</v>
      </c>
      <c r="G1108" s="473" t="s">
        <v>912</v>
      </c>
      <c r="H1108" s="112" t="s">
        <v>1072</v>
      </c>
      <c r="I1108" s="133">
        <v>2400</v>
      </c>
      <c r="J1108" s="133">
        <v>6391.2686000887979</v>
      </c>
      <c r="K1108" s="13">
        <f t="shared" si="53"/>
        <v>15339045</v>
      </c>
      <c r="L1108" s="113" t="s">
        <v>161</v>
      </c>
      <c r="M1108" s="113" t="s">
        <v>159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/>
      </c>
      <c r="Z1108" s="563"/>
    </row>
    <row r="1109" spans="1:26" ht="15.75" customHeight="1">
      <c r="A1109" s="120" t="str">
        <f>IF(B1109&lt;&gt;"",IF(AND(B1109&gt;=_TM1,B1109&lt;=_TM2,OR(TH!L1109="1111",TH!M1109="1111")),TH!D1109,""),"")</f>
        <v/>
      </c>
      <c r="B1109" s="12">
        <f t="shared" si="54"/>
        <v>12</v>
      </c>
      <c r="C1109" s="105">
        <f t="shared" si="55"/>
        <v>42728</v>
      </c>
      <c r="D1109" s="110" t="s">
        <v>1071</v>
      </c>
      <c r="E1109" s="472">
        <v>42728</v>
      </c>
      <c r="F1109" s="161" t="s">
        <v>914</v>
      </c>
      <c r="G1109" s="473" t="s">
        <v>913</v>
      </c>
      <c r="H1109" s="112" t="s">
        <v>1072</v>
      </c>
      <c r="I1109" s="133">
        <v>1010</v>
      </c>
      <c r="J1109" s="133">
        <v>8673.86452869194</v>
      </c>
      <c r="K1109" s="13">
        <f t="shared" si="53"/>
        <v>8760603</v>
      </c>
      <c r="L1109" s="113" t="s">
        <v>161</v>
      </c>
      <c r="M1109" s="113" t="s">
        <v>159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/>
      </c>
      <c r="Z1109" s="563"/>
    </row>
    <row r="1110" spans="1:26" ht="15.75" customHeight="1">
      <c r="A1110" s="120" t="str">
        <f>IF(B1110&lt;&gt;"",IF(AND(B1110&gt;=_TM1,B1110&lt;=_TM2,OR(TH!L1110="1111",TH!M1110="1111")),TH!D1110,""),"")</f>
        <v/>
      </c>
      <c r="B1110" s="12">
        <f t="shared" si="54"/>
        <v>12</v>
      </c>
      <c r="C1110" s="105">
        <f t="shared" si="55"/>
        <v>42728</v>
      </c>
      <c r="D1110" s="110" t="s">
        <v>1071</v>
      </c>
      <c r="E1110" s="472">
        <v>42728</v>
      </c>
      <c r="F1110" s="161" t="s">
        <v>915</v>
      </c>
      <c r="G1110" s="473" t="s">
        <v>913</v>
      </c>
      <c r="H1110" s="112" t="s">
        <v>1072</v>
      </c>
      <c r="I1110" s="133">
        <v>1006</v>
      </c>
      <c r="J1110" s="133">
        <v>7456.4800334369311</v>
      </c>
      <c r="K1110" s="13">
        <f t="shared" si="53"/>
        <v>7501219</v>
      </c>
      <c r="L1110" s="113" t="s">
        <v>161</v>
      </c>
      <c r="M1110" s="113" t="s">
        <v>159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/>
      </c>
      <c r="Z1110" s="563"/>
    </row>
    <row r="1111" spans="1:26" ht="15.75" customHeight="1">
      <c r="A1111" s="120" t="str">
        <f>IF(B1111&lt;&gt;"",IF(AND(B1111&gt;=_TM1,B1111&lt;=_TM2,OR(TH!L1111="1111",TH!M1111="1111")),TH!D1111,""),"")</f>
        <v/>
      </c>
      <c r="B1111" s="12">
        <f t="shared" si="54"/>
        <v>12</v>
      </c>
      <c r="C1111" s="105">
        <f t="shared" si="55"/>
        <v>42728</v>
      </c>
      <c r="D1111" s="110" t="s">
        <v>1071</v>
      </c>
      <c r="E1111" s="472">
        <v>42728</v>
      </c>
      <c r="F1111" s="161" t="s">
        <v>811</v>
      </c>
      <c r="G1111" s="473" t="s">
        <v>916</v>
      </c>
      <c r="H1111" s="112" t="s">
        <v>1072</v>
      </c>
      <c r="I1111" s="135">
        <v>2400</v>
      </c>
      <c r="J1111" s="135">
        <v>6391.2686000887979</v>
      </c>
      <c r="K1111" s="13">
        <f t="shared" si="53"/>
        <v>15339045</v>
      </c>
      <c r="L1111" s="113" t="s">
        <v>161</v>
      </c>
      <c r="M1111" s="113" t="s">
        <v>159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/>
      </c>
      <c r="Z1111" s="563"/>
    </row>
    <row r="1112" spans="1:26" ht="15.75" customHeight="1">
      <c r="A1112" s="120" t="str">
        <f>IF(B1112&lt;&gt;"",IF(AND(B1112&gt;=_TM1,B1112&lt;=_TM2,OR(TH!L1112="1111",TH!M1112="1111")),TH!D1112,""),"")</f>
        <v/>
      </c>
      <c r="B1112" s="12">
        <f t="shared" si="54"/>
        <v>12</v>
      </c>
      <c r="C1112" s="105">
        <f t="shared" si="55"/>
        <v>42729</v>
      </c>
      <c r="D1112" s="110" t="s">
        <v>1071</v>
      </c>
      <c r="E1112" s="472">
        <v>42729</v>
      </c>
      <c r="F1112" s="161" t="s">
        <v>918</v>
      </c>
      <c r="G1112" s="473" t="s">
        <v>917</v>
      </c>
      <c r="H1112" s="112" t="s">
        <v>1072</v>
      </c>
      <c r="I1112" s="133">
        <v>1070</v>
      </c>
      <c r="J1112" s="133">
        <v>7304.3069715300553</v>
      </c>
      <c r="K1112" s="13">
        <f t="shared" si="53"/>
        <v>7815608</v>
      </c>
      <c r="L1112" s="113" t="s">
        <v>161</v>
      </c>
      <c r="M1112" s="113" t="s">
        <v>159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/>
      </c>
      <c r="Z1112" s="563"/>
    </row>
    <row r="1113" spans="1:26" ht="15.75" customHeight="1">
      <c r="A1113" s="120" t="str">
        <f>IF(B1113&lt;&gt;"",IF(AND(B1113&gt;=_TM1,B1113&lt;=_TM2,OR(TH!L1113="1111",TH!M1113="1111")),TH!D1113,""),"")</f>
        <v/>
      </c>
      <c r="B1113" s="12">
        <f t="shared" si="54"/>
        <v>12</v>
      </c>
      <c r="C1113" s="105">
        <f t="shared" si="55"/>
        <v>42729</v>
      </c>
      <c r="D1113" s="110" t="s">
        <v>1071</v>
      </c>
      <c r="E1113" s="472">
        <v>42729</v>
      </c>
      <c r="F1113" s="161" t="s">
        <v>811</v>
      </c>
      <c r="G1113" s="473" t="s">
        <v>920</v>
      </c>
      <c r="H1113" s="112" t="s">
        <v>1072</v>
      </c>
      <c r="I1113" s="133">
        <v>2400</v>
      </c>
      <c r="J1113" s="133">
        <v>6391.2686000887979</v>
      </c>
      <c r="K1113" s="13">
        <f t="shared" si="53"/>
        <v>15339045</v>
      </c>
      <c r="L1113" s="113" t="s">
        <v>161</v>
      </c>
      <c r="M1113" s="113" t="s">
        <v>159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/>
      </c>
      <c r="Z1113" s="563"/>
    </row>
    <row r="1114" spans="1:26" ht="15.75" customHeight="1">
      <c r="A1114" s="120" t="str">
        <f>IF(B1114&lt;&gt;"",IF(AND(B1114&gt;=_TM1,B1114&lt;=_TM2,OR(TH!L1114="1111",TH!M1114="1111")),TH!D1114,""),"")</f>
        <v/>
      </c>
      <c r="B1114" s="12">
        <f t="shared" si="54"/>
        <v>12</v>
      </c>
      <c r="C1114" s="105">
        <f t="shared" si="55"/>
        <v>42730</v>
      </c>
      <c r="D1114" s="110" t="s">
        <v>1071</v>
      </c>
      <c r="E1114" s="472">
        <v>42730</v>
      </c>
      <c r="F1114" s="161" t="s">
        <v>811</v>
      </c>
      <c r="G1114" s="473" t="s">
        <v>921</v>
      </c>
      <c r="H1114" s="112" t="s">
        <v>1072</v>
      </c>
      <c r="I1114" s="133">
        <v>1200</v>
      </c>
      <c r="J1114" s="133">
        <v>6391.2686000887979</v>
      </c>
      <c r="K1114" s="13">
        <f t="shared" si="53"/>
        <v>7669522</v>
      </c>
      <c r="L1114" s="113" t="s">
        <v>161</v>
      </c>
      <c r="M1114" s="113" t="s">
        <v>159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/>
      </c>
      <c r="Z1114" s="563"/>
    </row>
    <row r="1115" spans="1:26" ht="15.75" customHeight="1">
      <c r="A1115" s="120" t="str">
        <f>IF(B1115&lt;&gt;"",IF(AND(B1115&gt;=_TM1,B1115&lt;=_TM2,OR(TH!L1115="1111",TH!M1115="1111")),TH!D1115,""),"")</f>
        <v/>
      </c>
      <c r="B1115" s="12">
        <f t="shared" si="54"/>
        <v>12</v>
      </c>
      <c r="C1115" s="105">
        <f t="shared" si="55"/>
        <v>42731</v>
      </c>
      <c r="D1115" s="110" t="s">
        <v>1071</v>
      </c>
      <c r="E1115" s="472">
        <v>42731</v>
      </c>
      <c r="F1115" s="161" t="s">
        <v>811</v>
      </c>
      <c r="G1115" s="473" t="s">
        <v>922</v>
      </c>
      <c r="H1115" s="112" t="s">
        <v>1072</v>
      </c>
      <c r="I1115" s="134">
        <v>1380</v>
      </c>
      <c r="J1115" s="135">
        <v>6391.2686000887979</v>
      </c>
      <c r="K1115" s="13">
        <f t="shared" si="53"/>
        <v>8819951</v>
      </c>
      <c r="L1115" s="113" t="s">
        <v>161</v>
      </c>
      <c r="M1115" s="113" t="s">
        <v>159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/>
      </c>
      <c r="Z1115" s="563"/>
    </row>
    <row r="1116" spans="1:26" ht="15.75" customHeight="1">
      <c r="A1116" s="120" t="str">
        <f>IF(B1116&lt;&gt;"",IF(AND(B1116&gt;=_TM1,B1116&lt;=_TM2,OR(TH!L1116="1111",TH!M1116="1111")),TH!D1116,""),"")</f>
        <v/>
      </c>
      <c r="B1116" s="12">
        <f t="shared" si="54"/>
        <v>12</v>
      </c>
      <c r="C1116" s="105">
        <f t="shared" si="55"/>
        <v>42732</v>
      </c>
      <c r="D1116" s="110" t="s">
        <v>1071</v>
      </c>
      <c r="E1116" s="472">
        <v>42732</v>
      </c>
      <c r="F1116" s="161" t="s">
        <v>811</v>
      </c>
      <c r="G1116" s="473" t="s">
        <v>923</v>
      </c>
      <c r="H1116" s="112" t="s">
        <v>1072</v>
      </c>
      <c r="I1116" s="133">
        <v>2030</v>
      </c>
      <c r="J1116" s="135">
        <v>6391.2686000887979</v>
      </c>
      <c r="K1116" s="13">
        <f t="shared" si="53"/>
        <v>12974275</v>
      </c>
      <c r="L1116" s="113" t="s">
        <v>161</v>
      </c>
      <c r="M1116" s="113" t="s">
        <v>159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/>
      </c>
      <c r="Z1116" s="563"/>
    </row>
    <row r="1117" spans="1:26" ht="15.75" customHeight="1">
      <c r="A1117" s="120" t="str">
        <f>IF(B1117&lt;&gt;"",IF(AND(B1117&gt;=_TM1,B1117&lt;=_TM2,OR(TH!L1117="1111",TH!M1117="1111")),TH!D1117,""),"")</f>
        <v/>
      </c>
      <c r="B1117" s="12">
        <f t="shared" si="54"/>
        <v>12</v>
      </c>
      <c r="C1117" s="105">
        <f t="shared" si="55"/>
        <v>42732</v>
      </c>
      <c r="D1117" s="110" t="s">
        <v>1071</v>
      </c>
      <c r="E1117" s="472">
        <v>42732</v>
      </c>
      <c r="F1117" s="161" t="s">
        <v>959</v>
      </c>
      <c r="G1117" s="473" t="s">
        <v>958</v>
      </c>
      <c r="H1117" s="112" t="s">
        <v>1072</v>
      </c>
      <c r="I1117" s="133">
        <v>188</v>
      </c>
      <c r="J1117" s="133">
        <v>9206.4702453660066</v>
      </c>
      <c r="K1117" s="13">
        <f t="shared" si="53"/>
        <v>1730816</v>
      </c>
      <c r="L1117" s="113" t="s">
        <v>161</v>
      </c>
      <c r="M1117" s="113" t="s">
        <v>159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/>
      </c>
      <c r="Z1117" s="563"/>
    </row>
    <row r="1118" spans="1:26" ht="15.75" customHeight="1">
      <c r="A1118" s="120" t="str">
        <f>IF(B1118&lt;&gt;"",IF(AND(B1118&gt;=_TM1,B1118&lt;=_TM2,OR(TH!L1118="1111",TH!M1118="1111")),TH!D1118,""),"")</f>
        <v/>
      </c>
      <c r="B1118" s="12">
        <f t="shared" si="54"/>
        <v>12</v>
      </c>
      <c r="C1118" s="105">
        <f t="shared" si="55"/>
        <v>42732</v>
      </c>
      <c r="D1118" s="110" t="s">
        <v>1071</v>
      </c>
      <c r="E1118" s="472">
        <v>42732</v>
      </c>
      <c r="F1118" s="161" t="s">
        <v>509</v>
      </c>
      <c r="G1118" s="473" t="s">
        <v>925</v>
      </c>
      <c r="H1118" s="112" t="s">
        <v>1072</v>
      </c>
      <c r="I1118" s="133">
        <v>209</v>
      </c>
      <c r="J1118" s="133">
        <v>10195.595147760703</v>
      </c>
      <c r="K1118" s="13">
        <f t="shared" si="53"/>
        <v>2130879</v>
      </c>
      <c r="L1118" s="113" t="s">
        <v>161</v>
      </c>
      <c r="M1118" s="113" t="s">
        <v>159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/>
      </c>
      <c r="Z1118" s="563"/>
    </row>
    <row r="1119" spans="1:26" ht="15.75" customHeight="1">
      <c r="A1119" s="120" t="str">
        <f>IF(B1119&lt;&gt;"",IF(AND(B1119&gt;=_TM1,B1119&lt;=_TM2,OR(TH!L1119="1111",TH!M1119="1111")),TH!D1119,""),"")</f>
        <v/>
      </c>
      <c r="B1119" s="12">
        <f t="shared" si="54"/>
        <v>12</v>
      </c>
      <c r="C1119" s="105">
        <f t="shared" si="55"/>
        <v>42732</v>
      </c>
      <c r="D1119" s="110" t="s">
        <v>1071</v>
      </c>
      <c r="E1119" s="472">
        <v>42732</v>
      </c>
      <c r="F1119" s="161" t="s">
        <v>926</v>
      </c>
      <c r="G1119" s="473" t="s">
        <v>924</v>
      </c>
      <c r="H1119" s="112" t="s">
        <v>1072</v>
      </c>
      <c r="I1119" s="133">
        <v>244</v>
      </c>
      <c r="J1119" s="133">
        <v>11108.63351920196</v>
      </c>
      <c r="K1119" s="13">
        <f t="shared" si="53"/>
        <v>2710507</v>
      </c>
      <c r="L1119" s="113" t="s">
        <v>161</v>
      </c>
      <c r="M1119" s="113" t="s">
        <v>159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/>
      </c>
      <c r="Z1119" s="563"/>
    </row>
    <row r="1120" spans="1:26" ht="15.75" customHeight="1">
      <c r="A1120" s="120" t="str">
        <f>IF(B1120&lt;&gt;"",IF(AND(B1120&gt;=_TM1,B1120&lt;=_TM2,OR(TH!L1120="1111",TH!M1120="1111")),TH!D1120,""),"")</f>
        <v/>
      </c>
      <c r="B1120" s="12">
        <f t="shared" si="54"/>
        <v>12</v>
      </c>
      <c r="C1120" s="105">
        <f t="shared" si="55"/>
        <v>42732</v>
      </c>
      <c r="D1120" s="110" t="s">
        <v>1071</v>
      </c>
      <c r="E1120" s="472">
        <v>42732</v>
      </c>
      <c r="F1120" s="161" t="s">
        <v>927</v>
      </c>
      <c r="G1120" s="473" t="s">
        <v>924</v>
      </c>
      <c r="H1120" s="112" t="s">
        <v>1072</v>
      </c>
      <c r="I1120" s="133">
        <v>244</v>
      </c>
      <c r="J1120" s="133">
        <v>10423.854740621018</v>
      </c>
      <c r="K1120" s="13">
        <f t="shared" si="53"/>
        <v>2543421</v>
      </c>
      <c r="L1120" s="113" t="s">
        <v>161</v>
      </c>
      <c r="M1120" s="113" t="s">
        <v>159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/>
      </c>
      <c r="Z1120" s="563"/>
    </row>
    <row r="1121" spans="1:26" ht="15.75" customHeight="1">
      <c r="A1121" s="120" t="str">
        <f>IF(B1121&lt;&gt;"",IF(AND(B1121&gt;=_TM1,B1121&lt;=_TM2,OR(TH!L1121="1111",TH!M1121="1111")),TH!D1121,""),"")</f>
        <v/>
      </c>
      <c r="B1121" s="12">
        <f t="shared" si="54"/>
        <v>12</v>
      </c>
      <c r="C1121" s="105">
        <f t="shared" si="55"/>
        <v>42732</v>
      </c>
      <c r="D1121" s="110" t="s">
        <v>1071</v>
      </c>
      <c r="E1121" s="472">
        <v>42732</v>
      </c>
      <c r="F1121" s="161" t="s">
        <v>928</v>
      </c>
      <c r="G1121" s="473" t="s">
        <v>924</v>
      </c>
      <c r="H1121" s="112" t="s">
        <v>1072</v>
      </c>
      <c r="I1121" s="133">
        <v>244</v>
      </c>
      <c r="J1121" s="133">
        <v>1141.297964301571</v>
      </c>
      <c r="K1121" s="13">
        <f t="shared" si="53"/>
        <v>278477</v>
      </c>
      <c r="L1121" s="113" t="s">
        <v>161</v>
      </c>
      <c r="M1121" s="113" t="s">
        <v>159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/>
      </c>
      <c r="Z1121" s="563"/>
    </row>
    <row r="1122" spans="1:26" ht="15.75" customHeight="1">
      <c r="A1122" s="120" t="str">
        <f>IF(B1122&lt;&gt;"",IF(AND(B1122&gt;=_TM1,B1122&lt;=_TM2,OR(TH!L1122="1111",TH!M1122="1111")),TH!D1122,""),"")</f>
        <v/>
      </c>
      <c r="B1122" s="12">
        <f t="shared" si="54"/>
        <v>12</v>
      </c>
      <c r="C1122" s="105">
        <f t="shared" si="55"/>
        <v>42732</v>
      </c>
      <c r="D1122" s="110" t="s">
        <v>1071</v>
      </c>
      <c r="E1122" s="472">
        <v>42732</v>
      </c>
      <c r="F1122" s="161" t="s">
        <v>929</v>
      </c>
      <c r="G1122" s="473" t="s">
        <v>924</v>
      </c>
      <c r="H1122" s="112" t="s">
        <v>1072</v>
      </c>
      <c r="I1122" s="131">
        <v>244</v>
      </c>
      <c r="J1122" s="132">
        <v>989.12490239469503</v>
      </c>
      <c r="K1122" s="13">
        <f t="shared" si="53"/>
        <v>241346</v>
      </c>
      <c r="L1122" s="113" t="s">
        <v>161</v>
      </c>
      <c r="M1122" s="113" t="s">
        <v>159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/>
      </c>
      <c r="Z1122" s="563"/>
    </row>
    <row r="1123" spans="1:26" ht="15.75" customHeight="1">
      <c r="A1123" s="120" t="str">
        <f>IF(B1123&lt;&gt;"",IF(AND(B1123&gt;=_TM1,B1123&lt;=_TM2,OR(TH!L1123="1111",TH!M1123="1111")),TH!D1123,""),"")</f>
        <v/>
      </c>
      <c r="B1123" s="12">
        <f t="shared" si="54"/>
        <v>12</v>
      </c>
      <c r="C1123" s="105">
        <f t="shared" si="55"/>
        <v>42732</v>
      </c>
      <c r="D1123" s="110" t="s">
        <v>1071</v>
      </c>
      <c r="E1123" s="472">
        <v>42732</v>
      </c>
      <c r="F1123" s="161" t="s">
        <v>930</v>
      </c>
      <c r="G1123" s="473" t="s">
        <v>924</v>
      </c>
      <c r="H1123" s="112" t="s">
        <v>1072</v>
      </c>
      <c r="I1123" s="133">
        <v>244</v>
      </c>
      <c r="J1123" s="133">
        <v>760.8653095343808</v>
      </c>
      <c r="K1123" s="13">
        <f t="shared" si="53"/>
        <v>185651</v>
      </c>
      <c r="L1123" s="113" t="s">
        <v>161</v>
      </c>
      <c r="M1123" s="113" t="s">
        <v>159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/>
      </c>
      <c r="Z1123" s="563"/>
    </row>
    <row r="1124" spans="1:26" ht="15.75" customHeight="1">
      <c r="A1124" s="120" t="str">
        <f>IF(B1124&lt;&gt;"",IF(AND(B1124&gt;=_TM1,B1124&lt;=_TM2,OR(TH!L1124="1111",TH!M1124="1111")),TH!D1124,""),"")</f>
        <v/>
      </c>
      <c r="B1124" s="12">
        <f t="shared" si="54"/>
        <v>12</v>
      </c>
      <c r="C1124" s="105">
        <f t="shared" si="55"/>
        <v>42732</v>
      </c>
      <c r="D1124" s="110" t="s">
        <v>1071</v>
      </c>
      <c r="E1124" s="472">
        <v>42732</v>
      </c>
      <c r="F1124" s="161" t="s">
        <v>931</v>
      </c>
      <c r="G1124" s="473" t="s">
        <v>924</v>
      </c>
      <c r="H1124" s="112" t="s">
        <v>1072</v>
      </c>
      <c r="I1124" s="133">
        <v>244</v>
      </c>
      <c r="J1124" s="133">
        <v>608.69224762750468</v>
      </c>
      <c r="K1124" s="13">
        <f t="shared" si="53"/>
        <v>148521</v>
      </c>
      <c r="L1124" s="113" t="s">
        <v>161</v>
      </c>
      <c r="M1124" s="113" t="s">
        <v>159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/>
      </c>
      <c r="Z1124" s="563"/>
    </row>
    <row r="1125" spans="1:26" ht="15.75" customHeight="1">
      <c r="A1125" s="120" t="str">
        <f>IF(B1125&lt;&gt;"",IF(AND(B1125&gt;=_TM1,B1125&lt;=_TM2,OR(TH!L1125="1111",TH!M1125="1111")),TH!D1125,""),"")</f>
        <v/>
      </c>
      <c r="B1125" s="12">
        <f t="shared" si="54"/>
        <v>12</v>
      </c>
      <c r="C1125" s="105">
        <f t="shared" si="55"/>
        <v>42733</v>
      </c>
      <c r="D1125" s="110" t="s">
        <v>1071</v>
      </c>
      <c r="E1125" s="472">
        <v>42733</v>
      </c>
      <c r="F1125" s="161" t="s">
        <v>935</v>
      </c>
      <c r="G1125" s="473" t="s">
        <v>932</v>
      </c>
      <c r="H1125" s="112" t="s">
        <v>1072</v>
      </c>
      <c r="I1125" s="133">
        <v>650</v>
      </c>
      <c r="J1125" s="133">
        <v>836.95184048781891</v>
      </c>
      <c r="K1125" s="13">
        <f t="shared" si="53"/>
        <v>544019</v>
      </c>
      <c r="L1125" s="113" t="s">
        <v>161</v>
      </c>
      <c r="M1125" s="113" t="s">
        <v>159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/>
      </c>
      <c r="Z1125" s="563"/>
    </row>
    <row r="1126" spans="1:26" ht="15.75" customHeight="1">
      <c r="A1126" s="120" t="str">
        <f>IF(B1126&lt;&gt;"",IF(AND(B1126&gt;=_TM1,B1126&lt;=_TM2,OR(TH!L1126="1111",TH!M1126="1111")),TH!D1126,""),"")</f>
        <v/>
      </c>
      <c r="B1126" s="12">
        <f t="shared" si="54"/>
        <v>12</v>
      </c>
      <c r="C1126" s="105">
        <f t="shared" si="55"/>
        <v>42734</v>
      </c>
      <c r="D1126" s="110" t="s">
        <v>1071</v>
      </c>
      <c r="E1126" s="472">
        <v>42734</v>
      </c>
      <c r="F1126" s="161" t="s">
        <v>522</v>
      </c>
      <c r="G1126" s="473" t="s">
        <v>934</v>
      </c>
      <c r="H1126" s="112" t="s">
        <v>1072</v>
      </c>
      <c r="I1126" s="133">
        <v>525</v>
      </c>
      <c r="J1126" s="133">
        <v>5554.3167596009798</v>
      </c>
      <c r="K1126" s="13">
        <f t="shared" ref="K1126:K1196" si="56">ROUND(I1126*J1126,0)</f>
        <v>2916016</v>
      </c>
      <c r="L1126" s="113" t="s">
        <v>161</v>
      </c>
      <c r="M1126" s="113" t="s">
        <v>159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/>
      </c>
      <c r="Z1126" s="563"/>
    </row>
    <row r="1127" spans="1:26" ht="15.75" customHeight="1">
      <c r="A1127" s="120" t="str">
        <f>IF(B1127&lt;&gt;"",IF(AND(B1127&gt;=_TM1,B1127&lt;=_TM2,OR(TH!L1127="1111",TH!M1127="1111")),TH!D1127,""),"")</f>
        <v/>
      </c>
      <c r="B1127" s="12">
        <f t="shared" ref="B1127:B1133" si="57">IF(C1127&lt;&gt;"",MONTH(C1127),"")</f>
        <v>12</v>
      </c>
      <c r="C1127" s="105">
        <f t="shared" ref="C1127:C1133" si="58">E1127</f>
        <v>42734</v>
      </c>
      <c r="D1127" s="110" t="s">
        <v>1071</v>
      </c>
      <c r="E1127" s="472">
        <v>42734</v>
      </c>
      <c r="F1127" s="161" t="s">
        <v>1083</v>
      </c>
      <c r="G1127" s="473" t="s">
        <v>1081</v>
      </c>
      <c r="H1127" s="112" t="s">
        <v>1072</v>
      </c>
      <c r="I1127" s="133">
        <v>7250</v>
      </c>
      <c r="J1127" s="133">
        <v>2130.4228666962663</v>
      </c>
      <c r="K1127" s="13">
        <f t="shared" si="56"/>
        <v>15445566</v>
      </c>
      <c r="L1127" s="113" t="s">
        <v>161</v>
      </c>
      <c r="M1127" s="113" t="s">
        <v>159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/>
      </c>
      <c r="Z1127" s="563"/>
    </row>
    <row r="1128" spans="1:26" ht="15.75" customHeight="1">
      <c r="A1128" s="120" t="str">
        <f>IF(B1128&lt;&gt;"",IF(AND(B1128&gt;=_TM1,B1128&lt;=_TM2,OR(TH!L1128="1111",TH!M1128="1111")),TH!D1128,""),"")</f>
        <v/>
      </c>
      <c r="B1128" s="12">
        <f t="shared" si="57"/>
        <v>12</v>
      </c>
      <c r="C1128" s="105">
        <f t="shared" si="58"/>
        <v>42734</v>
      </c>
      <c r="D1128" s="110" t="s">
        <v>1071</v>
      </c>
      <c r="E1128" s="472">
        <v>42734</v>
      </c>
      <c r="F1128" s="161" t="s">
        <v>1084</v>
      </c>
      <c r="G1128" s="473" t="s">
        <v>1081</v>
      </c>
      <c r="H1128" s="112" t="s">
        <v>1072</v>
      </c>
      <c r="I1128" s="133">
        <v>9730</v>
      </c>
      <c r="J1128" s="133">
        <v>1673.9036809756378</v>
      </c>
      <c r="K1128" s="13">
        <f t="shared" si="56"/>
        <v>16287083</v>
      </c>
      <c r="L1128" s="113" t="s">
        <v>161</v>
      </c>
      <c r="M1128" s="113" t="s">
        <v>159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/>
      </c>
      <c r="Z1128" s="563"/>
    </row>
    <row r="1129" spans="1:26" ht="15.75" customHeight="1">
      <c r="A1129" s="120" t="str">
        <f>IF(B1129&lt;&gt;"",IF(AND(B1129&gt;=_TM1,B1129&lt;=_TM2,OR(TH!L1129="1111",TH!M1129="1111")),TH!D1129,""),"")</f>
        <v/>
      </c>
      <c r="B1129" s="12">
        <f t="shared" si="57"/>
        <v>12</v>
      </c>
      <c r="C1129" s="105">
        <f t="shared" si="58"/>
        <v>42734</v>
      </c>
      <c r="D1129" s="110" t="s">
        <v>1071</v>
      </c>
      <c r="E1129" s="472">
        <v>42734</v>
      </c>
      <c r="F1129" s="161" t="s">
        <v>1085</v>
      </c>
      <c r="G1129" s="473" t="s">
        <v>1081</v>
      </c>
      <c r="H1129" s="112" t="s">
        <v>1072</v>
      </c>
      <c r="I1129" s="131">
        <v>375</v>
      </c>
      <c r="J1129" s="132">
        <v>380.4326547671904</v>
      </c>
      <c r="K1129" s="13">
        <f t="shared" si="56"/>
        <v>142662</v>
      </c>
      <c r="L1129" s="113" t="s">
        <v>161</v>
      </c>
      <c r="M1129" s="113" t="s">
        <v>159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/>
      </c>
      <c r="Z1129" s="563"/>
    </row>
    <row r="1130" spans="1:26" ht="15.75" customHeight="1">
      <c r="A1130" s="120" t="str">
        <f>IF(B1130&lt;&gt;"",IF(AND(B1130&gt;=_TM1,B1130&lt;=_TM2,OR(TH!L1130="1111",TH!M1130="1111")),TH!D1130,""),"")</f>
        <v/>
      </c>
      <c r="B1130" s="12">
        <f t="shared" si="57"/>
        <v>12</v>
      </c>
      <c r="C1130" s="105">
        <f t="shared" si="58"/>
        <v>42734</v>
      </c>
      <c r="D1130" s="110" t="s">
        <v>1071</v>
      </c>
      <c r="E1130" s="472">
        <v>42734</v>
      </c>
      <c r="F1130" s="161" t="s">
        <v>1086</v>
      </c>
      <c r="G1130" s="473" t="s">
        <v>1081</v>
      </c>
      <c r="H1130" s="112" t="s">
        <v>1072</v>
      </c>
      <c r="I1130" s="133">
        <v>500</v>
      </c>
      <c r="J1130" s="133">
        <v>21912.920914590166</v>
      </c>
      <c r="K1130" s="13">
        <f t="shared" si="56"/>
        <v>10956460</v>
      </c>
      <c r="L1130" s="113" t="s">
        <v>161</v>
      </c>
      <c r="M1130" s="113" t="s">
        <v>159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/>
      </c>
      <c r="Z1130" s="563"/>
    </row>
    <row r="1131" spans="1:26" ht="15.75" customHeight="1">
      <c r="A1131" s="120" t="str">
        <f>IF(B1131&lt;&gt;"",IF(AND(B1131&gt;=_TM1,B1131&lt;=_TM2,OR(TH!L1131="1111",TH!M1131="1111")),TH!D1131,""),"")</f>
        <v/>
      </c>
      <c r="B1131" s="12">
        <f t="shared" si="57"/>
        <v>12</v>
      </c>
      <c r="C1131" s="105">
        <f t="shared" si="58"/>
        <v>42734</v>
      </c>
      <c r="D1131" s="110" t="s">
        <v>1071</v>
      </c>
      <c r="E1131" s="472">
        <v>42734</v>
      </c>
      <c r="F1131" s="161" t="s">
        <v>1087</v>
      </c>
      <c r="G1131" s="473" t="s">
        <v>1081</v>
      </c>
      <c r="H1131" s="112" t="s">
        <v>1072</v>
      </c>
      <c r="I1131" s="133">
        <v>2375</v>
      </c>
      <c r="J1131" s="133">
        <v>1217.3844952550094</v>
      </c>
      <c r="K1131" s="13">
        <f t="shared" si="56"/>
        <v>2891288</v>
      </c>
      <c r="L1131" s="113" t="s">
        <v>161</v>
      </c>
      <c r="M1131" s="113" t="s">
        <v>159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/>
      </c>
      <c r="Z1131" s="563"/>
    </row>
    <row r="1132" spans="1:26" ht="15.75" customHeight="1">
      <c r="A1132" s="120" t="str">
        <f>IF(B1132&lt;&gt;"",IF(AND(B1132&gt;=_TM1,B1132&lt;=_TM2,OR(TH!L1132="1111",TH!M1132="1111")),TH!D1132,""),"")</f>
        <v/>
      </c>
      <c r="B1132" s="12">
        <f t="shared" si="57"/>
        <v>12</v>
      </c>
      <c r="C1132" s="105">
        <f t="shared" si="58"/>
        <v>42734</v>
      </c>
      <c r="D1132" s="110" t="s">
        <v>1071</v>
      </c>
      <c r="E1132" s="472">
        <v>42734</v>
      </c>
      <c r="F1132" s="161" t="s">
        <v>1088</v>
      </c>
      <c r="G1132" s="473" t="s">
        <v>1081</v>
      </c>
      <c r="H1132" s="112" t="s">
        <v>1072</v>
      </c>
      <c r="I1132" s="133">
        <v>200</v>
      </c>
      <c r="J1132" s="133">
        <v>2739.1151143237707</v>
      </c>
      <c r="K1132" s="13">
        <f t="shared" si="56"/>
        <v>547823</v>
      </c>
      <c r="L1132" s="113" t="s">
        <v>161</v>
      </c>
      <c r="M1132" s="113" t="s">
        <v>159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/>
      </c>
      <c r="Z1132" s="563"/>
    </row>
    <row r="1133" spans="1:26" ht="15.75" customHeight="1">
      <c r="A1133" s="120" t="str">
        <f>IF(B1133&lt;&gt;"",IF(AND(B1133&gt;=_TM1,B1133&lt;=_TM2,OR(TH!L1133="1111",TH!M1133="1111")),TH!D1133,""),"")</f>
        <v/>
      </c>
      <c r="B1133" s="12">
        <f t="shared" si="57"/>
        <v>12</v>
      </c>
      <c r="C1133" s="105">
        <f t="shared" si="58"/>
        <v>42734</v>
      </c>
      <c r="D1133" s="110" t="s">
        <v>1071</v>
      </c>
      <c r="E1133" s="472">
        <v>42734</v>
      </c>
      <c r="F1133" s="161" t="s">
        <v>1089</v>
      </c>
      <c r="G1133" s="473" t="s">
        <v>1081</v>
      </c>
      <c r="H1133" s="112" t="s">
        <v>1072</v>
      </c>
      <c r="I1133" s="133">
        <v>2000</v>
      </c>
      <c r="J1133" s="133">
        <v>1065.2114333481331</v>
      </c>
      <c r="K1133" s="13">
        <f t="shared" ref="K1133" si="59">ROUND(I1133*J1133,0)</f>
        <v>2130423</v>
      </c>
      <c r="L1133" s="113" t="s">
        <v>161</v>
      </c>
      <c r="M1133" s="113" t="s">
        <v>159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/>
      </c>
      <c r="Z1133" s="563"/>
    </row>
    <row r="1134" spans="1:26" ht="15.75" customHeight="1">
      <c r="A1134" s="120" t="str">
        <f>IF(B1134&lt;&gt;"",IF(AND(B1134&gt;=_TM1,B1134&lt;=_TM2,OR(TH!L1134="1111",TH!M1134="1111")),TH!D1134,""),"")</f>
        <v/>
      </c>
      <c r="B1134" s="12">
        <f t="shared" si="54"/>
        <v>12</v>
      </c>
      <c r="C1134" s="105">
        <f t="shared" si="55"/>
        <v>42735</v>
      </c>
      <c r="D1134" s="110" t="s">
        <v>1071</v>
      </c>
      <c r="E1134" s="472">
        <v>42735</v>
      </c>
      <c r="F1134" s="161" t="s">
        <v>500</v>
      </c>
      <c r="G1134" s="473" t="s">
        <v>942</v>
      </c>
      <c r="H1134" s="112" t="s">
        <v>1072</v>
      </c>
      <c r="I1134" s="133">
        <v>1808</v>
      </c>
      <c r="J1134" s="133">
        <v>8673.86452869194</v>
      </c>
      <c r="K1134" s="13">
        <f t="shared" si="56"/>
        <v>15682347</v>
      </c>
      <c r="L1134" s="113" t="s">
        <v>161</v>
      </c>
      <c r="M1134" s="113" t="s">
        <v>159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/>
      </c>
      <c r="Z1134" s="563"/>
    </row>
    <row r="1135" spans="1:26" ht="15.75" customHeight="1">
      <c r="A1135" s="120" t="str">
        <f>IF(B1135&lt;&gt;"",IF(AND(B1135&gt;=_TM1,B1135&lt;=_TM2,OR(TH!L1135="1111",TH!M1135="1111")),TH!D1135,""),"")</f>
        <v/>
      </c>
      <c r="B1135" s="12">
        <f t="shared" ref="B1135:B1326" si="60">IF(C1135&lt;&gt;"",MONTH(C1135),"")</f>
        <v>12</v>
      </c>
      <c r="C1135" s="105">
        <f t="shared" si="55"/>
        <v>42735</v>
      </c>
      <c r="D1135" s="110" t="s">
        <v>1071</v>
      </c>
      <c r="E1135" s="472">
        <v>42735</v>
      </c>
      <c r="F1135" s="161" t="s">
        <v>375</v>
      </c>
      <c r="G1135" s="473" t="s">
        <v>942</v>
      </c>
      <c r="H1135" s="112" t="s">
        <v>1072</v>
      </c>
      <c r="I1135" s="133">
        <v>3616</v>
      </c>
      <c r="J1135" s="133">
        <v>684.77877858094269</v>
      </c>
      <c r="K1135" s="13">
        <f t="shared" si="56"/>
        <v>2476160</v>
      </c>
      <c r="L1135" s="113" t="s">
        <v>161</v>
      </c>
      <c r="M1135" s="113" t="s">
        <v>159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/>
      </c>
      <c r="Z1135" s="563"/>
    </row>
    <row r="1136" spans="1:26" ht="15.75" customHeight="1">
      <c r="A1136" s="120" t="str">
        <f>IF(B1136&lt;&gt;"",IF(AND(B1136&gt;=_TM1,B1136&lt;=_TM2,OR(TH!L1136="1111",TH!M1136="1111")),TH!D1136,""),"")</f>
        <v/>
      </c>
      <c r="B1136" s="542">
        <f t="shared" si="60"/>
        <v>7</v>
      </c>
      <c r="C1136" s="543">
        <f>E1136</f>
        <v>42566</v>
      </c>
      <c r="D1136" s="544" t="s">
        <v>1020</v>
      </c>
      <c r="E1136" s="595">
        <v>42566</v>
      </c>
      <c r="F1136" s="596" t="s">
        <v>491</v>
      </c>
      <c r="G1136" s="597" t="s">
        <v>697</v>
      </c>
      <c r="H1136" s="598" t="s">
        <v>1073</v>
      </c>
      <c r="I1136" s="548">
        <v>73</v>
      </c>
      <c r="J1136" s="548">
        <v>43030.791972046798</v>
      </c>
      <c r="K1136" s="551">
        <f t="shared" si="56"/>
        <v>3141248</v>
      </c>
      <c r="L1136" s="556" t="s">
        <v>166</v>
      </c>
      <c r="M1136" s="556" t="s">
        <v>161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>x</v>
      </c>
      <c r="Z1136" s="565"/>
    </row>
    <row r="1137" spans="1:26" ht="15.75" customHeight="1">
      <c r="A1137" s="120" t="str">
        <f>IF(B1137&lt;&gt;"",IF(AND(B1137&gt;=_TM1,B1137&lt;=_TM2,OR(TH!L1137="1111",TH!M1137="1111")),TH!D1137,""),"")</f>
        <v/>
      </c>
      <c r="B1137" s="568">
        <f t="shared" si="60"/>
        <v>7</v>
      </c>
      <c r="C1137" s="569">
        <f t="shared" ref="C1137:C1200" si="61">E1137</f>
        <v>42566</v>
      </c>
      <c r="D1137" s="552" t="s">
        <v>1020</v>
      </c>
      <c r="E1137" s="591">
        <v>42566</v>
      </c>
      <c r="F1137" s="592" t="s">
        <v>495</v>
      </c>
      <c r="G1137" s="593" t="s">
        <v>698</v>
      </c>
      <c r="H1137" s="555" t="s">
        <v>1073</v>
      </c>
      <c r="I1137" s="572">
        <v>100</v>
      </c>
      <c r="J1137" s="572">
        <v>32314.311212724799</v>
      </c>
      <c r="K1137" s="21">
        <f t="shared" si="56"/>
        <v>3231431</v>
      </c>
      <c r="L1137" s="550" t="s">
        <v>166</v>
      </c>
      <c r="M1137" s="550" t="s">
        <v>161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>x</v>
      </c>
      <c r="Z1137" s="563"/>
    </row>
    <row r="1138" spans="1:26" ht="15.75" customHeight="1">
      <c r="A1138" s="120" t="str">
        <f>IF(B1138&lt;&gt;"",IF(AND(B1138&gt;=_TM1,B1138&lt;=_TM2,OR(TH!L1138="1111",TH!M1138="1111")),TH!D1138,""),"")</f>
        <v/>
      </c>
      <c r="B1138" s="568">
        <f t="shared" si="60"/>
        <v>7</v>
      </c>
      <c r="C1138" s="569">
        <f t="shared" si="61"/>
        <v>42566</v>
      </c>
      <c r="D1138" s="552" t="s">
        <v>1020</v>
      </c>
      <c r="E1138" s="591">
        <v>42566</v>
      </c>
      <c r="F1138" s="592" t="s">
        <v>496</v>
      </c>
      <c r="G1138" s="593" t="s">
        <v>698</v>
      </c>
      <c r="H1138" s="555" t="s">
        <v>1073</v>
      </c>
      <c r="I1138" s="131">
        <v>116</v>
      </c>
      <c r="J1138" s="131">
        <v>62320.457338826389</v>
      </c>
      <c r="K1138" s="21">
        <f t="shared" si="56"/>
        <v>7229173</v>
      </c>
      <c r="L1138" s="550" t="s">
        <v>166</v>
      </c>
      <c r="M1138" s="550" t="s">
        <v>161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>x</v>
      </c>
      <c r="Z1138" s="563"/>
    </row>
    <row r="1139" spans="1:26" ht="15.75" customHeight="1">
      <c r="A1139" s="120" t="str">
        <f>IF(B1139&lt;&gt;"",IF(AND(B1139&gt;=_TM1,B1139&lt;=_TM2,OR(TH!L1139="1111",TH!M1139="1111")),TH!D1139,""),"")</f>
        <v/>
      </c>
      <c r="B1139" s="568">
        <f t="shared" si="60"/>
        <v>7</v>
      </c>
      <c r="C1139" s="569">
        <f t="shared" si="61"/>
        <v>42566</v>
      </c>
      <c r="D1139" s="552" t="s">
        <v>1020</v>
      </c>
      <c r="E1139" s="591">
        <v>42566</v>
      </c>
      <c r="F1139" s="592" t="s">
        <v>497</v>
      </c>
      <c r="G1139" s="593" t="s">
        <v>699</v>
      </c>
      <c r="H1139" s="555" t="s">
        <v>1073</v>
      </c>
      <c r="I1139" s="131">
        <v>220</v>
      </c>
      <c r="J1139" s="131">
        <v>22504.609594576199</v>
      </c>
      <c r="K1139" s="21">
        <f t="shared" si="56"/>
        <v>4951014</v>
      </c>
      <c r="L1139" s="550" t="s">
        <v>166</v>
      </c>
      <c r="M1139" s="550" t="s">
        <v>161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>x</v>
      </c>
      <c r="Z1139" s="563"/>
    </row>
    <row r="1140" spans="1:26" ht="15.75" customHeight="1">
      <c r="A1140" s="120" t="str">
        <f>IF(B1140&lt;&gt;"",IF(AND(B1140&gt;=_TM1,B1140&lt;=_TM2,OR(TH!L1140="1111",TH!M1140="1111")),TH!D1140,""),"")</f>
        <v/>
      </c>
      <c r="B1140" s="568">
        <f t="shared" si="60"/>
        <v>7</v>
      </c>
      <c r="C1140" s="569">
        <f t="shared" si="61"/>
        <v>42566</v>
      </c>
      <c r="D1140" s="552" t="s">
        <v>1020</v>
      </c>
      <c r="E1140" s="591">
        <v>42566</v>
      </c>
      <c r="F1140" s="592" t="s">
        <v>498</v>
      </c>
      <c r="G1140" s="593" t="s">
        <v>699</v>
      </c>
      <c r="H1140" s="555" t="s">
        <v>1073</v>
      </c>
      <c r="I1140" s="131">
        <v>357</v>
      </c>
      <c r="J1140" s="131">
        <v>10551.611824563199</v>
      </c>
      <c r="K1140" s="21">
        <f t="shared" si="56"/>
        <v>3766925</v>
      </c>
      <c r="L1140" s="550" t="s">
        <v>166</v>
      </c>
      <c r="M1140" s="550" t="s">
        <v>161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>x</v>
      </c>
      <c r="Z1140" s="563"/>
    </row>
    <row r="1141" spans="1:26" ht="15.75" customHeight="1">
      <c r="A1141" s="120" t="str">
        <f>IF(B1141&lt;&gt;"",IF(AND(B1141&gt;=_TM1,B1141&lt;=_TM2,OR(TH!L1141="1111",TH!M1141="1111")),TH!D1141,""),"")</f>
        <v/>
      </c>
      <c r="B1141" s="568">
        <f t="shared" si="60"/>
        <v>7</v>
      </c>
      <c r="C1141" s="569">
        <f t="shared" si="61"/>
        <v>42566</v>
      </c>
      <c r="D1141" s="552" t="s">
        <v>1020</v>
      </c>
      <c r="E1141" s="591">
        <v>42566</v>
      </c>
      <c r="F1141" s="592" t="s">
        <v>499</v>
      </c>
      <c r="G1141" s="593" t="s">
        <v>699</v>
      </c>
      <c r="H1141" s="555" t="s">
        <v>1073</v>
      </c>
      <c r="I1141" s="131">
        <v>70</v>
      </c>
      <c r="J1141" s="131">
        <v>11046.218628839601</v>
      </c>
      <c r="K1141" s="21">
        <f t="shared" si="56"/>
        <v>773235</v>
      </c>
      <c r="L1141" s="550" t="s">
        <v>166</v>
      </c>
      <c r="M1141" s="550" t="s">
        <v>161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>x</v>
      </c>
      <c r="Z1141" s="563"/>
    </row>
    <row r="1142" spans="1:26" ht="15.75" customHeight="1">
      <c r="A1142" s="120" t="str">
        <f>IF(B1142&lt;&gt;"",IF(AND(B1142&gt;=_TM1,B1142&lt;=_TM2,OR(TH!L1142="1111",TH!M1142="1111")),TH!D1142,""),"")</f>
        <v/>
      </c>
      <c r="B1142" s="568">
        <f t="shared" si="60"/>
        <v>7</v>
      </c>
      <c r="C1142" s="569">
        <f t="shared" si="61"/>
        <v>42567</v>
      </c>
      <c r="D1142" s="552" t="s">
        <v>1020</v>
      </c>
      <c r="E1142" s="591">
        <v>42567</v>
      </c>
      <c r="F1142" s="592" t="s">
        <v>500</v>
      </c>
      <c r="G1142" s="593" t="s">
        <v>700</v>
      </c>
      <c r="H1142" s="555" t="s">
        <v>1073</v>
      </c>
      <c r="I1142" s="131">
        <v>300</v>
      </c>
      <c r="J1142" s="131">
        <v>9397.5292812515981</v>
      </c>
      <c r="K1142" s="21">
        <f t="shared" si="56"/>
        <v>2819259</v>
      </c>
      <c r="L1142" s="550" t="s">
        <v>166</v>
      </c>
      <c r="M1142" s="550" t="s">
        <v>161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>x</v>
      </c>
      <c r="Z1142" s="563"/>
    </row>
    <row r="1143" spans="1:26" ht="15.75" customHeight="1">
      <c r="A1143" s="120" t="str">
        <f>IF(B1143&lt;&gt;"",IF(AND(B1143&gt;=_TM1,B1143&lt;=_TM2,OR(TH!L1143="1111",TH!M1143="1111")),TH!D1143,""),"")</f>
        <v/>
      </c>
      <c r="B1143" s="568">
        <f t="shared" si="60"/>
        <v>7</v>
      </c>
      <c r="C1143" s="569">
        <f t="shared" si="61"/>
        <v>42567</v>
      </c>
      <c r="D1143" s="552" t="s">
        <v>1020</v>
      </c>
      <c r="E1143" s="591">
        <v>42567</v>
      </c>
      <c r="F1143" s="592" t="s">
        <v>500</v>
      </c>
      <c r="G1143" s="593" t="s">
        <v>700</v>
      </c>
      <c r="H1143" s="555" t="s">
        <v>1073</v>
      </c>
      <c r="I1143" s="131">
        <v>500</v>
      </c>
      <c r="J1143" s="131">
        <v>9397.5292812515981</v>
      </c>
      <c r="K1143" s="21">
        <f t="shared" si="56"/>
        <v>4698765</v>
      </c>
      <c r="L1143" s="550" t="s">
        <v>166</v>
      </c>
      <c r="M1143" s="550" t="s">
        <v>161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>x</v>
      </c>
      <c r="Z1143" s="563"/>
    </row>
    <row r="1144" spans="1:26" ht="15.75" customHeight="1">
      <c r="A1144" s="120" t="str">
        <f>IF(B1144&lt;&gt;"",IF(AND(B1144&gt;=_TM1,B1144&lt;=_TM2,OR(TH!L1144="1111",TH!M1144="1111")),TH!D1144,""),"")</f>
        <v/>
      </c>
      <c r="B1144" s="568">
        <f t="shared" si="60"/>
        <v>7</v>
      </c>
      <c r="C1144" s="569">
        <f t="shared" si="61"/>
        <v>42567</v>
      </c>
      <c r="D1144" s="552" t="s">
        <v>1020</v>
      </c>
      <c r="E1144" s="591">
        <v>42567</v>
      </c>
      <c r="F1144" s="592" t="s">
        <v>375</v>
      </c>
      <c r="G1144" s="593" t="s">
        <v>700</v>
      </c>
      <c r="H1144" s="555" t="s">
        <v>1073</v>
      </c>
      <c r="I1144" s="131">
        <v>1600</v>
      </c>
      <c r="J1144" s="131">
        <v>741.91020641459988</v>
      </c>
      <c r="K1144" s="21">
        <f t="shared" si="56"/>
        <v>1187056</v>
      </c>
      <c r="L1144" s="550" t="s">
        <v>166</v>
      </c>
      <c r="M1144" s="550" t="s">
        <v>161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>x</v>
      </c>
      <c r="Z1144" s="563"/>
    </row>
    <row r="1145" spans="1:26" ht="15.75" customHeight="1">
      <c r="A1145" s="120" t="str">
        <f>IF(B1145&lt;&gt;"",IF(AND(B1145&gt;=_TM1,B1145&lt;=_TM2,OR(TH!L1145="1111",TH!M1145="1111")),TH!D1145,""),"")</f>
        <v/>
      </c>
      <c r="B1145" s="568">
        <f t="shared" si="60"/>
        <v>7</v>
      </c>
      <c r="C1145" s="569">
        <f t="shared" si="61"/>
        <v>42567</v>
      </c>
      <c r="D1145" s="552" t="s">
        <v>1020</v>
      </c>
      <c r="E1145" s="591">
        <v>42567</v>
      </c>
      <c r="F1145" s="592" t="s">
        <v>501</v>
      </c>
      <c r="G1145" s="593" t="s">
        <v>701</v>
      </c>
      <c r="H1145" s="555" t="s">
        <v>1073</v>
      </c>
      <c r="I1145" s="572">
        <v>1005</v>
      </c>
      <c r="J1145" s="572">
        <v>7666.4054662842</v>
      </c>
      <c r="K1145" s="21">
        <f t="shared" si="56"/>
        <v>7704737</v>
      </c>
      <c r="L1145" s="550" t="s">
        <v>166</v>
      </c>
      <c r="M1145" s="550" t="s">
        <v>161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>x</v>
      </c>
      <c r="Z1145" s="563"/>
    </row>
    <row r="1146" spans="1:26" ht="15.75" customHeight="1">
      <c r="A1146" s="120" t="str">
        <f>IF(B1146&lt;&gt;"",IF(AND(B1146&gt;=_TM1,B1146&lt;=_TM2,OR(TH!L1146="1111",TH!M1146="1111")),TH!D1146,""),"")</f>
        <v/>
      </c>
      <c r="B1146" s="568">
        <f t="shared" si="60"/>
        <v>7</v>
      </c>
      <c r="C1146" s="569">
        <f t="shared" si="61"/>
        <v>42569</v>
      </c>
      <c r="D1146" s="552" t="s">
        <v>1020</v>
      </c>
      <c r="E1146" s="591">
        <v>42569</v>
      </c>
      <c r="F1146" s="592" t="s">
        <v>502</v>
      </c>
      <c r="G1146" s="593" t="s">
        <v>702</v>
      </c>
      <c r="H1146" s="555" t="s">
        <v>1073</v>
      </c>
      <c r="I1146" s="131">
        <v>254</v>
      </c>
      <c r="J1146" s="131">
        <v>10057.005020286799</v>
      </c>
      <c r="K1146" s="21">
        <f t="shared" si="56"/>
        <v>2554479</v>
      </c>
      <c r="L1146" s="550" t="s">
        <v>166</v>
      </c>
      <c r="M1146" s="550" t="s">
        <v>161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>x</v>
      </c>
      <c r="Z1146" s="563"/>
    </row>
    <row r="1147" spans="1:26" ht="15.75" customHeight="1">
      <c r="A1147" s="120" t="str">
        <f>IF(B1147&lt;&gt;"",IF(AND(B1147&gt;=_TM1,B1147&lt;=_TM2,OR(TH!L1147="1111",TH!M1147="1111")),TH!D1147,""),"")</f>
        <v/>
      </c>
      <c r="B1147" s="568">
        <f t="shared" si="60"/>
        <v>7</v>
      </c>
      <c r="C1147" s="569">
        <f t="shared" si="61"/>
        <v>42569</v>
      </c>
      <c r="D1147" s="552" t="s">
        <v>1020</v>
      </c>
      <c r="E1147" s="591">
        <v>42569</v>
      </c>
      <c r="F1147" s="592" t="s">
        <v>503</v>
      </c>
      <c r="G1147" s="593" t="s">
        <v>703</v>
      </c>
      <c r="H1147" s="555" t="s">
        <v>1073</v>
      </c>
      <c r="I1147" s="131">
        <v>75</v>
      </c>
      <c r="J1147" s="131">
        <v>11128.653096218999</v>
      </c>
      <c r="K1147" s="21">
        <f t="shared" si="56"/>
        <v>834649</v>
      </c>
      <c r="L1147" s="550" t="s">
        <v>166</v>
      </c>
      <c r="M1147" s="550" t="s">
        <v>161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>x</v>
      </c>
      <c r="Z1147" s="563"/>
    </row>
    <row r="1148" spans="1:26" ht="15.75" customHeight="1">
      <c r="A1148" s="120" t="str">
        <f>IF(B1148&lt;&gt;"",IF(AND(B1148&gt;=_TM1,B1148&lt;=_TM2,OR(TH!L1148="1111",TH!M1148="1111")),TH!D1148,""),"")</f>
        <v/>
      </c>
      <c r="B1148" s="568">
        <f t="shared" si="60"/>
        <v>7</v>
      </c>
      <c r="C1148" s="569">
        <f t="shared" si="61"/>
        <v>42571</v>
      </c>
      <c r="D1148" s="552" t="s">
        <v>1020</v>
      </c>
      <c r="E1148" s="591">
        <v>42571</v>
      </c>
      <c r="F1148" s="592" t="s">
        <v>506</v>
      </c>
      <c r="G1148" s="593" t="s">
        <v>704</v>
      </c>
      <c r="H1148" s="555" t="s">
        <v>1073</v>
      </c>
      <c r="I1148" s="131">
        <v>500</v>
      </c>
      <c r="J1148" s="131">
        <v>2637.9029561407997</v>
      </c>
      <c r="K1148" s="21">
        <f t="shared" si="56"/>
        <v>1318951</v>
      </c>
      <c r="L1148" s="550" t="s">
        <v>166</v>
      </c>
      <c r="M1148" s="550" t="s">
        <v>161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>x</v>
      </c>
      <c r="Z1148" s="563"/>
    </row>
    <row r="1149" spans="1:26" ht="15.75" customHeight="1">
      <c r="A1149" s="120" t="str">
        <f>IF(B1149&lt;&gt;"",IF(AND(B1149&gt;=_TM1,B1149&lt;=_TM2,OR(TH!L1149="1111",TH!M1149="1111")),TH!D1149,""),"")</f>
        <v/>
      </c>
      <c r="B1149" s="568">
        <f t="shared" si="60"/>
        <v>7</v>
      </c>
      <c r="C1149" s="569">
        <f t="shared" si="61"/>
        <v>42571</v>
      </c>
      <c r="D1149" s="552" t="s">
        <v>1020</v>
      </c>
      <c r="E1149" s="591">
        <v>42571</v>
      </c>
      <c r="F1149" s="592" t="s">
        <v>507</v>
      </c>
      <c r="G1149" s="593" t="s">
        <v>704</v>
      </c>
      <c r="H1149" s="555" t="s">
        <v>1073</v>
      </c>
      <c r="I1149" s="131">
        <v>300</v>
      </c>
      <c r="J1149" s="131">
        <v>1648.6893475879999</v>
      </c>
      <c r="K1149" s="21">
        <f t="shared" si="56"/>
        <v>494607</v>
      </c>
      <c r="L1149" s="550" t="s">
        <v>166</v>
      </c>
      <c r="M1149" s="550" t="s">
        <v>161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>x</v>
      </c>
      <c r="Z1149" s="563"/>
    </row>
    <row r="1150" spans="1:26" ht="15.75" customHeight="1">
      <c r="A1150" s="120" t="str">
        <f>IF(B1150&lt;&gt;"",IF(AND(B1150&gt;=_TM1,B1150&lt;=_TM2,OR(TH!L1150="1111",TH!M1150="1111")),TH!D1150,""),"")</f>
        <v/>
      </c>
      <c r="B1150" s="568">
        <f t="shared" si="60"/>
        <v>7</v>
      </c>
      <c r="C1150" s="569">
        <f t="shared" si="61"/>
        <v>42571</v>
      </c>
      <c r="D1150" s="552" t="s">
        <v>1020</v>
      </c>
      <c r="E1150" s="591">
        <v>42571</v>
      </c>
      <c r="F1150" s="592" t="s">
        <v>508</v>
      </c>
      <c r="G1150" s="593" t="s">
        <v>705</v>
      </c>
      <c r="H1150" s="555" t="s">
        <v>1073</v>
      </c>
      <c r="I1150" s="572">
        <v>1559</v>
      </c>
      <c r="J1150" s="572">
        <v>5687.9782491785991</v>
      </c>
      <c r="K1150" s="21">
        <f t="shared" si="56"/>
        <v>8867558</v>
      </c>
      <c r="L1150" s="550" t="s">
        <v>166</v>
      </c>
      <c r="M1150" s="550" t="s">
        <v>161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>x</v>
      </c>
      <c r="Z1150" s="563"/>
    </row>
    <row r="1151" spans="1:26" ht="15.75" customHeight="1">
      <c r="A1151" s="120" t="str">
        <f>IF(B1151&lt;&gt;"",IF(AND(B1151&gt;=_TM1,B1151&lt;=_TM2,OR(TH!L1151="1111",TH!M1151="1111")),TH!D1151,""),"")</f>
        <v/>
      </c>
      <c r="B1151" s="568">
        <f t="shared" si="60"/>
        <v>7</v>
      </c>
      <c r="C1151" s="569">
        <f t="shared" si="61"/>
        <v>42572</v>
      </c>
      <c r="D1151" s="552" t="s">
        <v>1020</v>
      </c>
      <c r="E1151" s="591">
        <v>42572</v>
      </c>
      <c r="F1151" s="592" t="s">
        <v>510</v>
      </c>
      <c r="G1151" s="593" t="s">
        <v>706</v>
      </c>
      <c r="H1151" s="555" t="s">
        <v>1073</v>
      </c>
      <c r="I1151" s="131">
        <v>102</v>
      </c>
      <c r="J1151" s="131">
        <v>19619.403236297199</v>
      </c>
      <c r="K1151" s="21">
        <f t="shared" si="56"/>
        <v>2001179</v>
      </c>
      <c r="L1151" s="550" t="s">
        <v>166</v>
      </c>
      <c r="M1151" s="550" t="s">
        <v>161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>x</v>
      </c>
      <c r="Z1151" s="563"/>
    </row>
    <row r="1152" spans="1:26" ht="15.75" customHeight="1">
      <c r="A1152" s="120" t="str">
        <f>IF(B1152&lt;&gt;"",IF(AND(B1152&gt;=_TM1,B1152&lt;=_TM2,OR(TH!L1152="1111",TH!M1152="1111")),TH!D1152,""),"")</f>
        <v/>
      </c>
      <c r="B1152" s="568">
        <f t="shared" si="60"/>
        <v>7</v>
      </c>
      <c r="C1152" s="569">
        <f t="shared" si="61"/>
        <v>42572</v>
      </c>
      <c r="D1152" s="552" t="s">
        <v>1020</v>
      </c>
      <c r="E1152" s="591">
        <v>42572</v>
      </c>
      <c r="F1152" s="592" t="s">
        <v>509</v>
      </c>
      <c r="G1152" s="593" t="s">
        <v>706</v>
      </c>
      <c r="H1152" s="555" t="s">
        <v>1073</v>
      </c>
      <c r="I1152" s="131">
        <v>103</v>
      </c>
      <c r="J1152" s="131">
        <v>11046.218628839601</v>
      </c>
      <c r="K1152" s="21">
        <f t="shared" si="56"/>
        <v>1137761</v>
      </c>
      <c r="L1152" s="550" t="s">
        <v>166</v>
      </c>
      <c r="M1152" s="550" t="s">
        <v>161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>x</v>
      </c>
      <c r="Z1152" s="563"/>
    </row>
    <row r="1153" spans="1:26" ht="15.75" customHeight="1">
      <c r="A1153" s="120" t="str">
        <f>IF(B1153&lt;&gt;"",IF(AND(B1153&gt;=_TM1,B1153&lt;=_TM2,OR(TH!L1153="1111",TH!M1153="1111")),TH!D1153,""),"")</f>
        <v/>
      </c>
      <c r="B1153" s="568">
        <f t="shared" si="60"/>
        <v>7</v>
      </c>
      <c r="C1153" s="569">
        <f t="shared" si="61"/>
        <v>42573</v>
      </c>
      <c r="D1153" s="552" t="s">
        <v>1020</v>
      </c>
      <c r="E1153" s="591">
        <v>42573</v>
      </c>
      <c r="F1153" s="592" t="s">
        <v>644</v>
      </c>
      <c r="G1153" s="593" t="s">
        <v>707</v>
      </c>
      <c r="H1153" s="555" t="s">
        <v>1073</v>
      </c>
      <c r="I1153" s="573">
        <v>250</v>
      </c>
      <c r="J1153" s="573">
        <v>10221.873955045599</v>
      </c>
      <c r="K1153" s="21">
        <f t="shared" si="56"/>
        <v>2555468</v>
      </c>
      <c r="L1153" s="550" t="s">
        <v>166</v>
      </c>
      <c r="M1153" s="550" t="s">
        <v>161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>x</v>
      </c>
      <c r="Z1153" s="563"/>
    </row>
    <row r="1154" spans="1:26" ht="15.75" customHeight="1">
      <c r="A1154" s="120" t="str">
        <f>IF(B1154&lt;&gt;"",IF(AND(B1154&gt;=_TM1,B1154&lt;=_TM2,OR(TH!L1154="1111",TH!M1154="1111")),TH!D1154,""),"")</f>
        <v/>
      </c>
      <c r="B1154" s="568">
        <f t="shared" si="60"/>
        <v>7</v>
      </c>
      <c r="C1154" s="569">
        <f t="shared" si="61"/>
        <v>42573</v>
      </c>
      <c r="D1154" s="552" t="s">
        <v>1020</v>
      </c>
      <c r="E1154" s="591">
        <v>42573</v>
      </c>
      <c r="F1154" s="592" t="s">
        <v>645</v>
      </c>
      <c r="G1154" s="593" t="s">
        <v>707</v>
      </c>
      <c r="H1154" s="555" t="s">
        <v>1073</v>
      </c>
      <c r="I1154" s="131">
        <v>200</v>
      </c>
      <c r="J1154" s="131">
        <v>12530.039041668799</v>
      </c>
      <c r="K1154" s="21">
        <f t="shared" si="56"/>
        <v>2506008</v>
      </c>
      <c r="L1154" s="550" t="s">
        <v>166</v>
      </c>
      <c r="M1154" s="550" t="s">
        <v>161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>x</v>
      </c>
      <c r="Z1154" s="563"/>
    </row>
    <row r="1155" spans="1:26" ht="15.75" customHeight="1">
      <c r="A1155" s="120" t="str">
        <f>IF(B1155&lt;&gt;"",IF(AND(B1155&gt;=_TM1,B1155&lt;=_TM2,OR(TH!L1155="1111",TH!M1155="1111")),TH!D1155,""),"")</f>
        <v/>
      </c>
      <c r="B1155" s="568">
        <f t="shared" si="60"/>
        <v>7</v>
      </c>
      <c r="C1155" s="569">
        <f t="shared" si="61"/>
        <v>42573</v>
      </c>
      <c r="D1155" s="552" t="s">
        <v>1020</v>
      </c>
      <c r="E1155" s="591">
        <v>42573</v>
      </c>
      <c r="F1155" s="592" t="s">
        <v>646</v>
      </c>
      <c r="G1155" s="593" t="s">
        <v>707</v>
      </c>
      <c r="H1155" s="555" t="s">
        <v>1073</v>
      </c>
      <c r="I1155" s="131">
        <v>300</v>
      </c>
      <c r="J1155" s="131">
        <v>9974.5705529073985</v>
      </c>
      <c r="K1155" s="21">
        <f t="shared" si="56"/>
        <v>2992371</v>
      </c>
      <c r="L1155" s="550" t="s">
        <v>166</v>
      </c>
      <c r="M1155" s="550" t="s">
        <v>161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>x</v>
      </c>
      <c r="Z1155" s="563"/>
    </row>
    <row r="1156" spans="1:26" ht="15.75" customHeight="1">
      <c r="A1156" s="120" t="str">
        <f>IF(B1156&lt;&gt;"",IF(AND(B1156&gt;=_TM1,B1156&lt;=_TM2,OR(TH!L1156="1111",TH!M1156="1111")),TH!D1156,""),"")</f>
        <v/>
      </c>
      <c r="B1156" s="568">
        <f t="shared" si="60"/>
        <v>7</v>
      </c>
      <c r="C1156" s="569">
        <f t="shared" si="61"/>
        <v>42573</v>
      </c>
      <c r="D1156" s="552" t="s">
        <v>1020</v>
      </c>
      <c r="E1156" s="591">
        <v>42573</v>
      </c>
      <c r="F1156" s="592" t="s">
        <v>647</v>
      </c>
      <c r="G1156" s="593" t="s">
        <v>707</v>
      </c>
      <c r="H1156" s="555" t="s">
        <v>1073</v>
      </c>
      <c r="I1156" s="572">
        <v>300</v>
      </c>
      <c r="J1156" s="572">
        <v>10963.7841614602</v>
      </c>
      <c r="K1156" s="21">
        <f t="shared" si="56"/>
        <v>3289135</v>
      </c>
      <c r="L1156" s="550" t="s">
        <v>166</v>
      </c>
      <c r="M1156" s="550" t="s">
        <v>161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>x</v>
      </c>
      <c r="Z1156" s="563"/>
    </row>
    <row r="1157" spans="1:26" ht="15.75" customHeight="1">
      <c r="A1157" s="120" t="str">
        <f>IF(B1157&lt;&gt;"",IF(AND(B1157&gt;=_TM1,B1157&lt;=_TM2,OR(TH!L1157="1111",TH!M1157="1111")),TH!D1157,""),"")</f>
        <v/>
      </c>
      <c r="B1157" s="568">
        <f t="shared" si="60"/>
        <v>7</v>
      </c>
      <c r="C1157" s="569">
        <f t="shared" si="61"/>
        <v>42573</v>
      </c>
      <c r="D1157" s="552" t="s">
        <v>1020</v>
      </c>
      <c r="E1157" s="591">
        <v>42573</v>
      </c>
      <c r="F1157" s="592" t="s">
        <v>817</v>
      </c>
      <c r="G1157" s="593" t="s">
        <v>707</v>
      </c>
      <c r="H1157" s="555" t="s">
        <v>1073</v>
      </c>
      <c r="I1157" s="572">
        <v>200</v>
      </c>
      <c r="J1157" s="572">
        <v>17228.803682294598</v>
      </c>
      <c r="K1157" s="21">
        <f t="shared" si="56"/>
        <v>3445761</v>
      </c>
      <c r="L1157" s="550" t="s">
        <v>166</v>
      </c>
      <c r="M1157" s="550" t="s">
        <v>161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>x</v>
      </c>
      <c r="Z1157" s="563"/>
    </row>
    <row r="1158" spans="1:26" ht="15.75" customHeight="1">
      <c r="A1158" s="120" t="str">
        <f>IF(B1158&lt;&gt;"",IF(AND(B1158&gt;=_TM1,B1158&lt;=_TM2,OR(TH!L1158="1111",TH!M1158="1111")),TH!D1158,""),"")</f>
        <v/>
      </c>
      <c r="B1158" s="568">
        <f t="shared" si="60"/>
        <v>7</v>
      </c>
      <c r="C1158" s="569">
        <f t="shared" si="61"/>
        <v>42574</v>
      </c>
      <c r="D1158" s="552" t="s">
        <v>1020</v>
      </c>
      <c r="E1158" s="591">
        <v>42574</v>
      </c>
      <c r="F1158" s="592" t="s">
        <v>653</v>
      </c>
      <c r="G1158" s="593" t="s">
        <v>708</v>
      </c>
      <c r="H1158" s="555" t="s">
        <v>1073</v>
      </c>
      <c r="I1158" s="131">
        <v>530</v>
      </c>
      <c r="J1158" s="131">
        <v>12777.342443807</v>
      </c>
      <c r="K1158" s="21">
        <f t="shared" si="56"/>
        <v>6771991</v>
      </c>
      <c r="L1158" s="550" t="s">
        <v>166</v>
      </c>
      <c r="M1158" s="550" t="s">
        <v>161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>x</v>
      </c>
      <c r="Z1158" s="563"/>
    </row>
    <row r="1159" spans="1:26" ht="15.75" customHeight="1">
      <c r="A1159" s="120" t="str">
        <f>IF(B1159&lt;&gt;"",IF(AND(B1159&gt;=_TM1,B1159&lt;=_TM2,OR(TH!L1159="1111",TH!M1159="1111")),TH!D1159,""),"")</f>
        <v/>
      </c>
      <c r="B1159" s="568">
        <f t="shared" si="60"/>
        <v>7</v>
      </c>
      <c r="C1159" s="569">
        <f t="shared" si="61"/>
        <v>42574</v>
      </c>
      <c r="D1159" s="552" t="s">
        <v>1020</v>
      </c>
      <c r="E1159" s="591">
        <v>42574</v>
      </c>
      <c r="F1159" s="592" t="s">
        <v>498</v>
      </c>
      <c r="G1159" s="593" t="s">
        <v>708</v>
      </c>
      <c r="H1159" s="555" t="s">
        <v>1073</v>
      </c>
      <c r="I1159" s="131">
        <v>33</v>
      </c>
      <c r="J1159" s="131">
        <v>10551.611824563199</v>
      </c>
      <c r="K1159" s="21">
        <f t="shared" si="56"/>
        <v>348203</v>
      </c>
      <c r="L1159" s="550" t="s">
        <v>166</v>
      </c>
      <c r="M1159" s="550" t="s">
        <v>161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>x</v>
      </c>
      <c r="Z1159" s="563"/>
    </row>
    <row r="1160" spans="1:26" ht="15.75" customHeight="1">
      <c r="A1160" s="120" t="str">
        <f>IF(B1160&lt;&gt;"",IF(AND(B1160&gt;=_TM1,B1160&lt;=_TM2,OR(TH!L1160="1111",TH!M1160="1111")),TH!D1160,""),"")</f>
        <v/>
      </c>
      <c r="B1160" s="568">
        <f t="shared" si="60"/>
        <v>7</v>
      </c>
      <c r="C1160" s="569">
        <f t="shared" si="61"/>
        <v>42574</v>
      </c>
      <c r="D1160" s="552" t="s">
        <v>1020</v>
      </c>
      <c r="E1160" s="591">
        <v>42574</v>
      </c>
      <c r="F1160" s="592" t="s">
        <v>654</v>
      </c>
      <c r="G1160" s="593" t="s">
        <v>708</v>
      </c>
      <c r="H1160" s="555" t="s">
        <v>1073</v>
      </c>
      <c r="I1160" s="131">
        <v>630</v>
      </c>
      <c r="J1160" s="131">
        <v>11128.653096218999</v>
      </c>
      <c r="K1160" s="21">
        <f t="shared" si="56"/>
        <v>7011051</v>
      </c>
      <c r="L1160" s="550" t="s">
        <v>166</v>
      </c>
      <c r="M1160" s="550" t="s">
        <v>161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>x</v>
      </c>
      <c r="Z1160" s="563"/>
    </row>
    <row r="1161" spans="1:26" ht="15.75" customHeight="1">
      <c r="A1161" s="120" t="str">
        <f>IF(B1161&lt;&gt;"",IF(AND(B1161&gt;=_TM1,B1161&lt;=_TM2,OR(TH!L1161="1111",TH!M1161="1111")),TH!D1161,""),"")</f>
        <v/>
      </c>
      <c r="B1161" s="568">
        <f t="shared" si="60"/>
        <v>7</v>
      </c>
      <c r="C1161" s="569">
        <f t="shared" si="61"/>
        <v>42574</v>
      </c>
      <c r="D1161" s="552" t="s">
        <v>1020</v>
      </c>
      <c r="E1161" s="591">
        <v>42574</v>
      </c>
      <c r="F1161" s="592" t="s">
        <v>660</v>
      </c>
      <c r="G1161" s="593" t="s">
        <v>708</v>
      </c>
      <c r="H1161" s="555" t="s">
        <v>1073</v>
      </c>
      <c r="I1161" s="573">
        <v>352</v>
      </c>
      <c r="J1161" s="573">
        <v>9397.5292812515981</v>
      </c>
      <c r="K1161" s="21">
        <f t="shared" si="56"/>
        <v>3307930</v>
      </c>
      <c r="L1161" s="550" t="s">
        <v>166</v>
      </c>
      <c r="M1161" s="550" t="s">
        <v>161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>x</v>
      </c>
      <c r="Z1161" s="563"/>
    </row>
    <row r="1162" spans="1:26" ht="15.75" customHeight="1">
      <c r="A1162" s="120" t="str">
        <f>IF(B1162&lt;&gt;"",IF(AND(B1162&gt;=_TM1,B1162&lt;=_TM2,OR(TH!L1162="1111",TH!M1162="1111")),TH!D1162,""),"")</f>
        <v/>
      </c>
      <c r="B1162" s="568">
        <f t="shared" si="60"/>
        <v>7</v>
      </c>
      <c r="C1162" s="569">
        <f t="shared" si="61"/>
        <v>42574</v>
      </c>
      <c r="D1162" s="552" t="s">
        <v>1020</v>
      </c>
      <c r="E1162" s="591">
        <v>42574</v>
      </c>
      <c r="F1162" s="592" t="s">
        <v>511</v>
      </c>
      <c r="G1162" s="593" t="s">
        <v>709</v>
      </c>
      <c r="H1162" s="555" t="s">
        <v>1073</v>
      </c>
      <c r="I1162" s="131">
        <v>350</v>
      </c>
      <c r="J1162" s="131">
        <v>9067.7914117340006</v>
      </c>
      <c r="K1162" s="21">
        <f t="shared" si="56"/>
        <v>3173727</v>
      </c>
      <c r="L1162" s="550" t="s">
        <v>166</v>
      </c>
      <c r="M1162" s="550" t="s">
        <v>161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>x</v>
      </c>
      <c r="Z1162" s="563"/>
    </row>
    <row r="1163" spans="1:26" ht="15.75" customHeight="1">
      <c r="A1163" s="120" t="str">
        <f>IF(B1163&lt;&gt;"",IF(AND(B1163&gt;=_TM1,B1163&lt;=_TM2,OR(TH!L1163="1111",TH!M1163="1111")),TH!D1163,""),"")</f>
        <v/>
      </c>
      <c r="B1163" s="568">
        <f t="shared" si="60"/>
        <v>7</v>
      </c>
      <c r="C1163" s="569">
        <f t="shared" si="61"/>
        <v>42577</v>
      </c>
      <c r="D1163" s="552" t="s">
        <v>1020</v>
      </c>
      <c r="E1163" s="591">
        <v>42577</v>
      </c>
      <c r="F1163" s="592" t="s">
        <v>512</v>
      </c>
      <c r="G1163" s="593" t="s">
        <v>710</v>
      </c>
      <c r="H1163" s="555" t="s">
        <v>1073</v>
      </c>
      <c r="I1163" s="131">
        <v>473</v>
      </c>
      <c r="J1163" s="131">
        <v>6677.1918577314</v>
      </c>
      <c r="K1163" s="21">
        <f t="shared" si="56"/>
        <v>3158312</v>
      </c>
      <c r="L1163" s="550" t="s">
        <v>166</v>
      </c>
      <c r="M1163" s="550" t="s">
        <v>161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>x</v>
      </c>
      <c r="Z1163" s="563"/>
    </row>
    <row r="1164" spans="1:26" ht="15.75" customHeight="1">
      <c r="A1164" s="120" t="str">
        <f>IF(B1164&lt;&gt;"",IF(AND(B1164&gt;=_TM1,B1164&lt;=_TM2,OR(TH!L1164="1111",TH!M1164="1111")),TH!D1164,""),"")</f>
        <v/>
      </c>
      <c r="B1164" s="568">
        <f t="shared" si="60"/>
        <v>7</v>
      </c>
      <c r="C1164" s="569">
        <f t="shared" si="61"/>
        <v>42580</v>
      </c>
      <c r="D1164" s="552" t="s">
        <v>1020</v>
      </c>
      <c r="E1164" s="591">
        <v>42580</v>
      </c>
      <c r="F1164" s="592" t="s">
        <v>513</v>
      </c>
      <c r="G1164" s="593" t="s">
        <v>711</v>
      </c>
      <c r="H1164" s="555" t="s">
        <v>1073</v>
      </c>
      <c r="I1164" s="131">
        <v>302</v>
      </c>
      <c r="J1164" s="131">
        <v>7831.2744010429988</v>
      </c>
      <c r="K1164" s="21">
        <f t="shared" si="56"/>
        <v>2365045</v>
      </c>
      <c r="L1164" s="550" t="s">
        <v>166</v>
      </c>
      <c r="M1164" s="550" t="s">
        <v>161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>x</v>
      </c>
      <c r="Z1164" s="563"/>
    </row>
    <row r="1165" spans="1:26" ht="15.75" customHeight="1">
      <c r="A1165" s="120" t="str">
        <f>IF(B1165&lt;&gt;"",IF(AND(B1165&gt;=_TM1,B1165&lt;=_TM2,OR(TH!L1165="1111",TH!M1165="1111")),TH!D1165,""),"")</f>
        <v/>
      </c>
      <c r="B1165" s="568">
        <f t="shared" si="60"/>
        <v>7</v>
      </c>
      <c r="C1165" s="569">
        <f t="shared" si="61"/>
        <v>42580</v>
      </c>
      <c r="D1165" s="552" t="s">
        <v>1020</v>
      </c>
      <c r="E1165" s="591">
        <v>42580</v>
      </c>
      <c r="F1165" s="592" t="s">
        <v>514</v>
      </c>
      <c r="G1165" s="593" t="s">
        <v>711</v>
      </c>
      <c r="H1165" s="555" t="s">
        <v>1073</v>
      </c>
      <c r="I1165" s="131">
        <v>527</v>
      </c>
      <c r="J1165" s="131">
        <v>7996.1433358017994</v>
      </c>
      <c r="K1165" s="21">
        <f t="shared" si="56"/>
        <v>4213968</v>
      </c>
      <c r="L1165" s="550" t="s">
        <v>166</v>
      </c>
      <c r="M1165" s="550" t="s">
        <v>161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>x</v>
      </c>
      <c r="Z1165" s="563"/>
    </row>
    <row r="1166" spans="1:26" ht="15.75" customHeight="1">
      <c r="A1166" s="120" t="str">
        <f>IF(B1166&lt;&gt;"",IF(AND(B1166&gt;=_TM1,B1166&lt;=_TM2,OR(TH!L1166="1111",TH!M1166="1111")),TH!D1166,""),"")</f>
        <v/>
      </c>
      <c r="B1166" s="568">
        <f t="shared" si="60"/>
        <v>7</v>
      </c>
      <c r="C1166" s="569">
        <f t="shared" si="61"/>
        <v>42580</v>
      </c>
      <c r="D1166" s="552" t="s">
        <v>1020</v>
      </c>
      <c r="E1166" s="591">
        <v>42580</v>
      </c>
      <c r="F1166" s="592" t="s">
        <v>647</v>
      </c>
      <c r="G1166" s="593" t="s">
        <v>712</v>
      </c>
      <c r="H1166" s="555" t="s">
        <v>1073</v>
      </c>
      <c r="I1166" s="131">
        <v>100</v>
      </c>
      <c r="J1166" s="131">
        <v>10963.7841614602</v>
      </c>
      <c r="K1166" s="21">
        <f t="shared" si="56"/>
        <v>1096378</v>
      </c>
      <c r="L1166" s="550" t="s">
        <v>166</v>
      </c>
      <c r="M1166" s="550" t="s">
        <v>161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>x</v>
      </c>
      <c r="Z1166" s="563"/>
    </row>
    <row r="1167" spans="1:26" ht="15.75" customHeight="1">
      <c r="A1167" s="120" t="str">
        <f>IF(B1167&lt;&gt;"",IF(AND(B1167&gt;=_TM1,B1167&lt;=_TM2,OR(TH!L1167="1111",TH!M1167="1111")),TH!D1167,""),"")</f>
        <v/>
      </c>
      <c r="B1167" s="568">
        <f t="shared" si="60"/>
        <v>7</v>
      </c>
      <c r="C1167" s="569">
        <f t="shared" si="61"/>
        <v>42580</v>
      </c>
      <c r="D1167" s="552" t="s">
        <v>1020</v>
      </c>
      <c r="E1167" s="591">
        <v>42580</v>
      </c>
      <c r="F1167" s="592" t="s">
        <v>817</v>
      </c>
      <c r="G1167" s="593" t="s">
        <v>712</v>
      </c>
      <c r="H1167" s="555" t="s">
        <v>1073</v>
      </c>
      <c r="I1167" s="131">
        <v>100</v>
      </c>
      <c r="J1167" s="131">
        <v>17228.803682294598</v>
      </c>
      <c r="K1167" s="21">
        <f t="shared" si="56"/>
        <v>1722880</v>
      </c>
      <c r="L1167" s="550" t="s">
        <v>166</v>
      </c>
      <c r="M1167" s="550" t="s">
        <v>161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>x</v>
      </c>
      <c r="Z1167" s="563"/>
    </row>
    <row r="1168" spans="1:26" ht="15.75" customHeight="1">
      <c r="A1168" s="120" t="str">
        <f>IF(B1168&lt;&gt;"",IF(AND(B1168&gt;=_TM1,B1168&lt;=_TM2,OR(TH!L1168="1111",TH!M1168="1111")),TH!D1168,""),"")</f>
        <v/>
      </c>
      <c r="B1168" s="568">
        <f t="shared" si="60"/>
        <v>8</v>
      </c>
      <c r="C1168" s="569">
        <f t="shared" si="61"/>
        <v>42583</v>
      </c>
      <c r="D1168" s="552" t="s">
        <v>1020</v>
      </c>
      <c r="E1168" s="591">
        <v>42583</v>
      </c>
      <c r="F1168" s="592" t="s">
        <v>508</v>
      </c>
      <c r="G1168" s="593" t="s">
        <v>713</v>
      </c>
      <c r="H1168" s="555" t="s">
        <v>1073</v>
      </c>
      <c r="I1168" s="131">
        <v>500</v>
      </c>
      <c r="J1168" s="131">
        <v>5687.9782491785991</v>
      </c>
      <c r="K1168" s="21">
        <f t="shared" si="56"/>
        <v>2843989</v>
      </c>
      <c r="L1168" s="550" t="s">
        <v>166</v>
      </c>
      <c r="M1168" s="550" t="s">
        <v>161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>x</v>
      </c>
      <c r="Z1168" s="563"/>
    </row>
    <row r="1169" spans="1:26" ht="15.75" customHeight="1">
      <c r="A1169" s="120" t="str">
        <f>IF(B1169&lt;&gt;"",IF(AND(B1169&gt;=_TM1,B1169&lt;=_TM2,OR(TH!L1169="1111",TH!M1169="1111")),TH!D1169,""),"")</f>
        <v/>
      </c>
      <c r="B1169" s="568">
        <f t="shared" si="60"/>
        <v>8</v>
      </c>
      <c r="C1169" s="569">
        <f t="shared" si="61"/>
        <v>42584</v>
      </c>
      <c r="D1169" s="552" t="s">
        <v>1020</v>
      </c>
      <c r="E1169" s="591">
        <v>42584</v>
      </c>
      <c r="F1169" s="592" t="s">
        <v>515</v>
      </c>
      <c r="G1169" s="593" t="s">
        <v>714</v>
      </c>
      <c r="H1169" s="555" t="s">
        <v>1073</v>
      </c>
      <c r="I1169" s="131">
        <v>606</v>
      </c>
      <c r="J1169" s="131">
        <v>5852.8471839373997</v>
      </c>
      <c r="K1169" s="21">
        <f t="shared" si="56"/>
        <v>3546825</v>
      </c>
      <c r="L1169" s="550" t="s">
        <v>166</v>
      </c>
      <c r="M1169" s="550" t="s">
        <v>161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>x</v>
      </c>
      <c r="Z1169" s="563"/>
    </row>
    <row r="1170" spans="1:26" ht="15.75" customHeight="1">
      <c r="A1170" s="120" t="str">
        <f>IF(B1170&lt;&gt;"",IF(AND(B1170&gt;=_TM1,B1170&lt;=_TM2,OR(TH!L1170="1111",TH!M1170="1111")),TH!D1170,""),"")</f>
        <v/>
      </c>
      <c r="B1170" s="568">
        <f t="shared" si="60"/>
        <v>8</v>
      </c>
      <c r="C1170" s="569">
        <f t="shared" si="61"/>
        <v>42584</v>
      </c>
      <c r="D1170" s="552" t="s">
        <v>1020</v>
      </c>
      <c r="E1170" s="591">
        <v>42584</v>
      </c>
      <c r="F1170" s="592" t="s">
        <v>516</v>
      </c>
      <c r="G1170" s="593" t="s">
        <v>714</v>
      </c>
      <c r="H1170" s="555" t="s">
        <v>1073</v>
      </c>
      <c r="I1170" s="131">
        <v>404</v>
      </c>
      <c r="J1170" s="131">
        <v>8985.3569443546003</v>
      </c>
      <c r="K1170" s="21">
        <f t="shared" si="56"/>
        <v>3630084</v>
      </c>
      <c r="L1170" s="550" t="s">
        <v>166</v>
      </c>
      <c r="M1170" s="550" t="s">
        <v>161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>x</v>
      </c>
      <c r="Z1170" s="563"/>
    </row>
    <row r="1171" spans="1:26" ht="15.75" customHeight="1">
      <c r="A1171" s="120" t="str">
        <f>IF(B1171&lt;&gt;"",IF(AND(B1171&gt;=_TM1,B1171&lt;=_TM2,OR(TH!L1171="1111",TH!M1171="1111")),TH!D1171,""),"")</f>
        <v/>
      </c>
      <c r="B1171" s="568">
        <f t="shared" si="60"/>
        <v>8</v>
      </c>
      <c r="C1171" s="569">
        <f t="shared" si="61"/>
        <v>42584</v>
      </c>
      <c r="D1171" s="552" t="s">
        <v>1020</v>
      </c>
      <c r="E1171" s="591">
        <v>42584</v>
      </c>
      <c r="F1171" s="592" t="s">
        <v>517</v>
      </c>
      <c r="G1171" s="593" t="s">
        <v>714</v>
      </c>
      <c r="H1171" s="555" t="s">
        <v>1073</v>
      </c>
      <c r="I1171" s="131">
        <v>304</v>
      </c>
      <c r="J1171" s="131">
        <v>10881.3496940808</v>
      </c>
      <c r="K1171" s="21">
        <f t="shared" si="56"/>
        <v>3307930</v>
      </c>
      <c r="L1171" s="550" t="s">
        <v>166</v>
      </c>
      <c r="M1171" s="550" t="s">
        <v>161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>x</v>
      </c>
      <c r="Z1171" s="563"/>
    </row>
    <row r="1172" spans="1:26" ht="15.75" customHeight="1">
      <c r="A1172" s="120" t="str">
        <f>IF(B1172&lt;&gt;"",IF(AND(B1172&gt;=_TM1,B1172&lt;=_TM2,OR(TH!L1172="1111",TH!M1172="1111")),TH!D1172,""),"")</f>
        <v/>
      </c>
      <c r="B1172" s="568">
        <f t="shared" si="60"/>
        <v>8</v>
      </c>
      <c r="C1172" s="569">
        <f t="shared" si="61"/>
        <v>42584</v>
      </c>
      <c r="D1172" s="552" t="s">
        <v>1020</v>
      </c>
      <c r="E1172" s="591">
        <v>42584</v>
      </c>
      <c r="F1172" s="592" t="s">
        <v>518</v>
      </c>
      <c r="G1172" s="593" t="s">
        <v>715</v>
      </c>
      <c r="H1172" s="555" t="s">
        <v>1073</v>
      </c>
      <c r="I1172" s="131">
        <v>1335</v>
      </c>
      <c r="J1172" s="131">
        <v>6759.6263251107994</v>
      </c>
      <c r="K1172" s="21">
        <f t="shared" si="56"/>
        <v>9024101</v>
      </c>
      <c r="L1172" s="550" t="s">
        <v>166</v>
      </c>
      <c r="M1172" s="550" t="s">
        <v>161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>x</v>
      </c>
      <c r="Z1172" s="563"/>
    </row>
    <row r="1173" spans="1:26" ht="15.75" customHeight="1">
      <c r="A1173" s="120" t="str">
        <f>IF(B1173&lt;&gt;"",IF(AND(B1173&gt;=_TM1,B1173&lt;=_TM2,OR(TH!L1173="1111",TH!M1173="1111")),TH!D1173,""),"")</f>
        <v/>
      </c>
      <c r="B1173" s="568">
        <f t="shared" si="60"/>
        <v>8</v>
      </c>
      <c r="C1173" s="569">
        <f t="shared" si="61"/>
        <v>42584</v>
      </c>
      <c r="D1173" s="552" t="s">
        <v>1020</v>
      </c>
      <c r="E1173" s="591">
        <v>42584</v>
      </c>
      <c r="F1173" s="592" t="s">
        <v>519</v>
      </c>
      <c r="G1173" s="593" t="s">
        <v>715</v>
      </c>
      <c r="H1173" s="555" t="s">
        <v>1073</v>
      </c>
      <c r="I1173" s="131">
        <v>302</v>
      </c>
      <c r="J1173" s="131">
        <v>6100.1505860755997</v>
      </c>
      <c r="K1173" s="21">
        <f t="shared" si="56"/>
        <v>1842245</v>
      </c>
      <c r="L1173" s="550" t="s">
        <v>166</v>
      </c>
      <c r="M1173" s="550" t="s">
        <v>161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>x</v>
      </c>
      <c r="Z1173" s="563"/>
    </row>
    <row r="1174" spans="1:26" ht="15.75" customHeight="1">
      <c r="A1174" s="120" t="str">
        <f>IF(B1174&lt;&gt;"",IF(AND(B1174&gt;=_TM1,B1174&lt;=_TM2,OR(TH!L1174="1111",TH!M1174="1111")),TH!D1174,""),"")</f>
        <v/>
      </c>
      <c r="B1174" s="568">
        <f t="shared" si="60"/>
        <v>8</v>
      </c>
      <c r="C1174" s="569">
        <f t="shared" si="61"/>
        <v>42584</v>
      </c>
      <c r="D1174" s="552" t="s">
        <v>1020</v>
      </c>
      <c r="E1174" s="591">
        <v>42584</v>
      </c>
      <c r="F1174" s="592" t="s">
        <v>520</v>
      </c>
      <c r="G1174" s="593" t="s">
        <v>715</v>
      </c>
      <c r="H1174" s="555" t="s">
        <v>1073</v>
      </c>
      <c r="I1174" s="131">
        <v>420</v>
      </c>
      <c r="J1174" s="131">
        <v>13024.645845945199</v>
      </c>
      <c r="K1174" s="21">
        <f t="shared" si="56"/>
        <v>5470351</v>
      </c>
      <c r="L1174" s="550" t="s">
        <v>166</v>
      </c>
      <c r="M1174" s="550" t="s">
        <v>161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>x</v>
      </c>
      <c r="Z1174" s="563"/>
    </row>
    <row r="1175" spans="1:26" ht="15.75" customHeight="1">
      <c r="A1175" s="120" t="str">
        <f>IF(B1175&lt;&gt;"",IF(AND(B1175&gt;=_TM1,B1175&lt;=_TM2,OR(TH!L1175="1111",TH!M1175="1111")),TH!D1175,""),"")</f>
        <v/>
      </c>
      <c r="B1175" s="568">
        <f t="shared" si="60"/>
        <v>8</v>
      </c>
      <c r="C1175" s="569">
        <f t="shared" si="61"/>
        <v>42585</v>
      </c>
      <c r="D1175" s="552" t="s">
        <v>1020</v>
      </c>
      <c r="E1175" s="591">
        <v>42585</v>
      </c>
      <c r="F1175" s="592" t="s">
        <v>521</v>
      </c>
      <c r="G1175" s="593" t="s">
        <v>716</v>
      </c>
      <c r="H1175" s="555" t="s">
        <v>1073</v>
      </c>
      <c r="I1175" s="131">
        <v>427</v>
      </c>
      <c r="J1175" s="131">
        <v>7913.7088684223991</v>
      </c>
      <c r="K1175" s="21">
        <f t="shared" si="56"/>
        <v>3379154</v>
      </c>
      <c r="L1175" s="550" t="s">
        <v>166</v>
      </c>
      <c r="M1175" s="550" t="s">
        <v>161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>x</v>
      </c>
      <c r="Z1175" s="563"/>
    </row>
    <row r="1176" spans="1:26" ht="15.75" customHeight="1">
      <c r="A1176" s="120" t="str">
        <f>IF(B1176&lt;&gt;"",IF(AND(B1176&gt;=_TM1,B1176&lt;=_TM2,OR(TH!L1176="1111",TH!M1176="1111")),TH!D1176,""),"")</f>
        <v/>
      </c>
      <c r="B1176" s="568">
        <f t="shared" si="60"/>
        <v>8</v>
      </c>
      <c r="C1176" s="569">
        <f t="shared" si="61"/>
        <v>42588</v>
      </c>
      <c r="D1176" s="552" t="s">
        <v>1020</v>
      </c>
      <c r="E1176" s="591">
        <v>42588</v>
      </c>
      <c r="F1176" s="592" t="s">
        <v>536</v>
      </c>
      <c r="G1176" s="593" t="s">
        <v>717</v>
      </c>
      <c r="H1176" s="555" t="s">
        <v>1073</v>
      </c>
      <c r="I1176" s="131">
        <v>108</v>
      </c>
      <c r="J1176" s="131">
        <v>6429.8884555932</v>
      </c>
      <c r="K1176" s="21">
        <f t="shared" si="56"/>
        <v>694428</v>
      </c>
      <c r="L1176" s="550" t="s">
        <v>166</v>
      </c>
      <c r="M1176" s="550" t="s">
        <v>161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>x</v>
      </c>
      <c r="Z1176" s="563"/>
    </row>
    <row r="1177" spans="1:26" ht="15.75" customHeight="1">
      <c r="A1177" s="120" t="str">
        <f>IF(B1177&lt;&gt;"",IF(AND(B1177&gt;=_TM1,B1177&lt;=_TM2,OR(TH!L1177="1111",TH!M1177="1111")),TH!D1177,""),"")</f>
        <v/>
      </c>
      <c r="B1177" s="568">
        <f t="shared" si="60"/>
        <v>8</v>
      </c>
      <c r="C1177" s="569">
        <f t="shared" si="61"/>
        <v>42588</v>
      </c>
      <c r="D1177" s="552" t="s">
        <v>1020</v>
      </c>
      <c r="E1177" s="591">
        <v>42588</v>
      </c>
      <c r="F1177" s="592" t="s">
        <v>662</v>
      </c>
      <c r="G1177" s="593" t="s">
        <v>717</v>
      </c>
      <c r="H1177" s="555" t="s">
        <v>1073</v>
      </c>
      <c r="I1177" s="131">
        <v>103</v>
      </c>
      <c r="J1177" s="131">
        <v>7748.8399336635994</v>
      </c>
      <c r="K1177" s="21">
        <f t="shared" si="56"/>
        <v>798131</v>
      </c>
      <c r="L1177" s="550" t="s">
        <v>166</v>
      </c>
      <c r="M1177" s="550" t="s">
        <v>161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>x</v>
      </c>
      <c r="Z1177" s="563"/>
    </row>
    <row r="1178" spans="1:26" ht="15.75" customHeight="1">
      <c r="A1178" s="120" t="str">
        <f>IF(B1178&lt;&gt;"",IF(AND(B1178&gt;=_TM1,B1178&lt;=_TM2,OR(TH!L1178="1111",TH!M1178="1111")),TH!D1178,""),"")</f>
        <v/>
      </c>
      <c r="B1178" s="568">
        <f t="shared" si="60"/>
        <v>8</v>
      </c>
      <c r="C1178" s="569">
        <f t="shared" si="61"/>
        <v>42591</v>
      </c>
      <c r="D1178" s="552" t="s">
        <v>1020</v>
      </c>
      <c r="E1178" s="591">
        <v>42591</v>
      </c>
      <c r="F1178" s="592" t="s">
        <v>522</v>
      </c>
      <c r="G1178" s="593" t="s">
        <v>718</v>
      </c>
      <c r="H1178" s="555" t="s">
        <v>1073</v>
      </c>
      <c r="I1178" s="131">
        <v>490</v>
      </c>
      <c r="J1178" s="131">
        <v>6017.7161186961994</v>
      </c>
      <c r="K1178" s="21">
        <f t="shared" si="56"/>
        <v>2948681</v>
      </c>
      <c r="L1178" s="550" t="s">
        <v>166</v>
      </c>
      <c r="M1178" s="550" t="s">
        <v>161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>x</v>
      </c>
      <c r="Z1178" s="563"/>
    </row>
    <row r="1179" spans="1:26" ht="15.75" customHeight="1">
      <c r="A1179" s="120" t="str">
        <f>IF(B1179&lt;&gt;"",IF(AND(B1179&gt;=_TM1,B1179&lt;=_TM2,OR(TH!L1179="1111",TH!M1179="1111")),TH!D1179,""),"")</f>
        <v/>
      </c>
      <c r="B1179" s="568">
        <f t="shared" si="60"/>
        <v>8</v>
      </c>
      <c r="C1179" s="569">
        <f t="shared" si="61"/>
        <v>42592</v>
      </c>
      <c r="D1179" s="552" t="s">
        <v>1020</v>
      </c>
      <c r="E1179" s="591">
        <v>42592</v>
      </c>
      <c r="F1179" s="592" t="s">
        <v>524</v>
      </c>
      <c r="G1179" s="593" t="s">
        <v>719</v>
      </c>
      <c r="H1179" s="555" t="s">
        <v>1073</v>
      </c>
      <c r="I1179" s="131">
        <v>403</v>
      </c>
      <c r="J1179" s="131">
        <v>15497.679867327199</v>
      </c>
      <c r="K1179" s="21">
        <f t="shared" si="56"/>
        <v>6245565</v>
      </c>
      <c r="L1179" s="550" t="s">
        <v>166</v>
      </c>
      <c r="M1179" s="550" t="s">
        <v>161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>x</v>
      </c>
      <c r="Z1179" s="563"/>
    </row>
    <row r="1180" spans="1:26" ht="15.75" customHeight="1">
      <c r="A1180" s="120" t="str">
        <f>IF(B1180&lt;&gt;"",IF(AND(B1180&gt;=_TM1,B1180&lt;=_TM2,OR(TH!L1180="1111",TH!M1180="1111")),TH!D1180,""),"")</f>
        <v/>
      </c>
      <c r="B1180" s="568">
        <f t="shared" si="60"/>
        <v>8</v>
      </c>
      <c r="C1180" s="569">
        <f t="shared" si="61"/>
        <v>42592</v>
      </c>
      <c r="D1180" s="552" t="s">
        <v>1020</v>
      </c>
      <c r="E1180" s="591">
        <v>42592</v>
      </c>
      <c r="F1180" s="592" t="s">
        <v>645</v>
      </c>
      <c r="G1180" s="593" t="s">
        <v>720</v>
      </c>
      <c r="H1180" s="555" t="s">
        <v>1073</v>
      </c>
      <c r="I1180" s="131">
        <v>30</v>
      </c>
      <c r="J1180" s="131">
        <v>12530.039041668799</v>
      </c>
      <c r="K1180" s="21">
        <f t="shared" si="56"/>
        <v>375901</v>
      </c>
      <c r="L1180" s="550" t="s">
        <v>166</v>
      </c>
      <c r="M1180" s="550" t="s">
        <v>161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>x</v>
      </c>
      <c r="Z1180" s="563"/>
    </row>
    <row r="1181" spans="1:26" ht="15.75" customHeight="1">
      <c r="A1181" s="120" t="str">
        <f>IF(B1181&lt;&gt;"",IF(AND(B1181&gt;=_TM1,B1181&lt;=_TM2,OR(TH!L1181="1111",TH!M1181="1111")),TH!D1181,""),"")</f>
        <v/>
      </c>
      <c r="B1181" s="568">
        <f t="shared" si="60"/>
        <v>8</v>
      </c>
      <c r="C1181" s="569">
        <f t="shared" si="61"/>
        <v>42592</v>
      </c>
      <c r="D1181" s="552" t="s">
        <v>1020</v>
      </c>
      <c r="E1181" s="591">
        <v>42592</v>
      </c>
      <c r="F1181" s="592" t="s">
        <v>648</v>
      </c>
      <c r="G1181" s="593" t="s">
        <v>720</v>
      </c>
      <c r="H1181" s="555" t="s">
        <v>1073</v>
      </c>
      <c r="I1181" s="572">
        <v>30</v>
      </c>
      <c r="J1181" s="572">
        <v>8985.3569443546003</v>
      </c>
      <c r="K1181" s="21">
        <f t="shared" si="56"/>
        <v>269561</v>
      </c>
      <c r="L1181" s="550" t="s">
        <v>166</v>
      </c>
      <c r="M1181" s="550" t="s">
        <v>161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>x</v>
      </c>
      <c r="Z1181" s="563"/>
    </row>
    <row r="1182" spans="1:26" ht="15.75" customHeight="1">
      <c r="A1182" s="120" t="str">
        <f>IF(B1182&lt;&gt;"",IF(AND(B1182&gt;=_TM1,B1182&lt;=_TM2,OR(TH!L1182="1111",TH!M1182="1111")),TH!D1182,""),"")</f>
        <v/>
      </c>
      <c r="B1182" s="568">
        <f t="shared" si="60"/>
        <v>8</v>
      </c>
      <c r="C1182" s="569">
        <f t="shared" si="61"/>
        <v>42592</v>
      </c>
      <c r="D1182" s="552" t="s">
        <v>1020</v>
      </c>
      <c r="E1182" s="591">
        <v>42592</v>
      </c>
      <c r="F1182" s="592" t="s">
        <v>646</v>
      </c>
      <c r="G1182" s="593" t="s">
        <v>720</v>
      </c>
      <c r="H1182" s="555" t="s">
        <v>1073</v>
      </c>
      <c r="I1182" s="131">
        <v>30</v>
      </c>
      <c r="J1182" s="131">
        <v>9974.5705529073985</v>
      </c>
      <c r="K1182" s="21">
        <f t="shared" si="56"/>
        <v>299237</v>
      </c>
      <c r="L1182" s="550" t="s">
        <v>166</v>
      </c>
      <c r="M1182" s="550" t="s">
        <v>161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>x</v>
      </c>
      <c r="Z1182" s="563"/>
    </row>
    <row r="1183" spans="1:26" ht="15.75" customHeight="1">
      <c r="A1183" s="120" t="str">
        <f>IF(B1183&lt;&gt;"",IF(AND(B1183&gt;=_TM1,B1183&lt;=_TM2,OR(TH!L1183="1111",TH!M1183="1111")),TH!D1183,""),"")</f>
        <v/>
      </c>
      <c r="B1183" s="568">
        <f t="shared" si="60"/>
        <v>8</v>
      </c>
      <c r="C1183" s="569">
        <f t="shared" si="61"/>
        <v>42592</v>
      </c>
      <c r="D1183" s="552" t="s">
        <v>1020</v>
      </c>
      <c r="E1183" s="591">
        <v>42592</v>
      </c>
      <c r="F1183" s="592" t="s">
        <v>647</v>
      </c>
      <c r="G1183" s="593" t="s">
        <v>720</v>
      </c>
      <c r="H1183" s="555" t="s">
        <v>1073</v>
      </c>
      <c r="I1183" s="131">
        <v>100</v>
      </c>
      <c r="J1183" s="131">
        <v>10963.7841614602</v>
      </c>
      <c r="K1183" s="21">
        <f t="shared" si="56"/>
        <v>1096378</v>
      </c>
      <c r="L1183" s="550" t="s">
        <v>166</v>
      </c>
      <c r="M1183" s="550" t="s">
        <v>161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>x</v>
      </c>
      <c r="Z1183" s="563"/>
    </row>
    <row r="1184" spans="1:26" ht="15.75" customHeight="1">
      <c r="A1184" s="120" t="str">
        <f>IF(B1184&lt;&gt;"",IF(AND(B1184&gt;=_TM1,B1184&lt;=_TM2,OR(TH!L1184="1111",TH!M1184="1111")),TH!D1184,""),"")</f>
        <v/>
      </c>
      <c r="B1184" s="568">
        <f t="shared" si="60"/>
        <v>8</v>
      </c>
      <c r="C1184" s="569">
        <f t="shared" si="61"/>
        <v>42592</v>
      </c>
      <c r="D1184" s="552" t="s">
        <v>1020</v>
      </c>
      <c r="E1184" s="591">
        <v>42592</v>
      </c>
      <c r="F1184" s="592" t="s">
        <v>817</v>
      </c>
      <c r="G1184" s="593" t="s">
        <v>720</v>
      </c>
      <c r="H1184" s="555" t="s">
        <v>1073</v>
      </c>
      <c r="I1184" s="131">
        <v>60</v>
      </c>
      <c r="J1184" s="131">
        <v>17228.803682294598</v>
      </c>
      <c r="K1184" s="21">
        <f t="shared" si="56"/>
        <v>1033728</v>
      </c>
      <c r="L1184" s="550" t="s">
        <v>166</v>
      </c>
      <c r="M1184" s="550" t="s">
        <v>161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>x</v>
      </c>
      <c r="Z1184" s="563"/>
    </row>
    <row r="1185" spans="1:26" ht="15.75" customHeight="1">
      <c r="A1185" s="120" t="str">
        <f>IF(B1185&lt;&gt;"",IF(AND(B1185&gt;=_TM1,B1185&lt;=_TM2,OR(TH!L1185="1111",TH!M1185="1111")),TH!D1185,""),"")</f>
        <v/>
      </c>
      <c r="B1185" s="568">
        <f t="shared" si="60"/>
        <v>8</v>
      </c>
      <c r="C1185" s="569">
        <f t="shared" si="61"/>
        <v>42592</v>
      </c>
      <c r="D1185" s="552" t="s">
        <v>1020</v>
      </c>
      <c r="E1185" s="591">
        <v>42592</v>
      </c>
      <c r="F1185" s="592" t="s">
        <v>524</v>
      </c>
      <c r="G1185" s="593" t="s">
        <v>721</v>
      </c>
      <c r="H1185" s="555" t="s">
        <v>1073</v>
      </c>
      <c r="I1185" s="131">
        <v>403</v>
      </c>
      <c r="J1185" s="131">
        <v>15497.679867327199</v>
      </c>
      <c r="K1185" s="21">
        <f t="shared" si="56"/>
        <v>6245565</v>
      </c>
      <c r="L1185" s="550" t="s">
        <v>166</v>
      </c>
      <c r="M1185" s="550" t="s">
        <v>161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>x</v>
      </c>
      <c r="Z1185" s="563"/>
    </row>
    <row r="1186" spans="1:26" ht="15.75" customHeight="1">
      <c r="A1186" s="120" t="str">
        <f>IF(B1186&lt;&gt;"",IF(AND(B1186&gt;=_TM1,B1186&lt;=_TM2,OR(TH!L1186="1111",TH!M1186="1111")),TH!D1186,""),"")</f>
        <v/>
      </c>
      <c r="B1186" s="568">
        <f t="shared" si="60"/>
        <v>8</v>
      </c>
      <c r="C1186" s="569">
        <f t="shared" si="61"/>
        <v>42594</v>
      </c>
      <c r="D1186" s="552" t="s">
        <v>1020</v>
      </c>
      <c r="E1186" s="591">
        <v>42594</v>
      </c>
      <c r="F1186" s="592" t="s">
        <v>655</v>
      </c>
      <c r="G1186" s="593" t="s">
        <v>722</v>
      </c>
      <c r="H1186" s="555" t="s">
        <v>1073</v>
      </c>
      <c r="I1186" s="131">
        <v>1330</v>
      </c>
      <c r="J1186" s="131">
        <v>10469.177357183798</v>
      </c>
      <c r="K1186" s="21">
        <f t="shared" si="56"/>
        <v>13924006</v>
      </c>
      <c r="L1186" s="550" t="s">
        <v>166</v>
      </c>
      <c r="M1186" s="550" t="s">
        <v>161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>x</v>
      </c>
      <c r="Z1186" s="563"/>
    </row>
    <row r="1187" spans="1:26" ht="15.75" customHeight="1">
      <c r="A1187" s="120" t="str">
        <f>IF(B1187&lt;&gt;"",IF(AND(B1187&gt;=_TM1,B1187&lt;=_TM2,OR(TH!L1187="1111",TH!M1187="1111")),TH!D1187,""),"")</f>
        <v/>
      </c>
      <c r="B1187" s="568">
        <f t="shared" si="60"/>
        <v>8</v>
      </c>
      <c r="C1187" s="569">
        <f t="shared" si="61"/>
        <v>42594</v>
      </c>
      <c r="D1187" s="552" t="s">
        <v>1020</v>
      </c>
      <c r="E1187" s="591">
        <v>42594</v>
      </c>
      <c r="F1187" s="592" t="s">
        <v>655</v>
      </c>
      <c r="G1187" s="593" t="s">
        <v>722</v>
      </c>
      <c r="H1187" s="555" t="s">
        <v>1073</v>
      </c>
      <c r="I1187" s="131">
        <v>80</v>
      </c>
      <c r="J1187" s="131">
        <v>10469.177357183798</v>
      </c>
      <c r="K1187" s="21">
        <f t="shared" si="56"/>
        <v>837534</v>
      </c>
      <c r="L1187" s="550" t="s">
        <v>166</v>
      </c>
      <c r="M1187" s="550" t="s">
        <v>161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>x</v>
      </c>
      <c r="Z1187" s="563"/>
    </row>
    <row r="1188" spans="1:26" ht="15.75" customHeight="1">
      <c r="A1188" s="120" t="str">
        <f>IF(B1188&lt;&gt;"",IF(AND(B1188&gt;=_TM1,B1188&lt;=_TM2,OR(TH!L1188="1111",TH!M1188="1111")),TH!D1188,""),"")</f>
        <v/>
      </c>
      <c r="B1188" s="568">
        <f t="shared" si="60"/>
        <v>8</v>
      </c>
      <c r="C1188" s="569">
        <f t="shared" si="61"/>
        <v>42594</v>
      </c>
      <c r="D1188" s="552" t="s">
        <v>1020</v>
      </c>
      <c r="E1188" s="591">
        <v>42594</v>
      </c>
      <c r="F1188" s="592" t="s">
        <v>656</v>
      </c>
      <c r="G1188" s="593" t="s">
        <v>722</v>
      </c>
      <c r="H1188" s="555" t="s">
        <v>1073</v>
      </c>
      <c r="I1188" s="131">
        <v>35</v>
      </c>
      <c r="J1188" s="131">
        <v>10634.046291942599</v>
      </c>
      <c r="K1188" s="21">
        <f t="shared" si="56"/>
        <v>372192</v>
      </c>
      <c r="L1188" s="550" t="s">
        <v>166</v>
      </c>
      <c r="M1188" s="550" t="s">
        <v>161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>x</v>
      </c>
      <c r="Z1188" s="563"/>
    </row>
    <row r="1189" spans="1:26" ht="15.75" customHeight="1">
      <c r="A1189" s="120" t="str">
        <f>IF(B1189&lt;&gt;"",IF(AND(B1189&gt;=_TM1,B1189&lt;=_TM2,OR(TH!L1189="1111",TH!M1189="1111")),TH!D1189,""),"")</f>
        <v/>
      </c>
      <c r="B1189" s="568">
        <f t="shared" si="60"/>
        <v>8</v>
      </c>
      <c r="C1189" s="569">
        <f t="shared" si="61"/>
        <v>42594</v>
      </c>
      <c r="D1189" s="552" t="s">
        <v>1020</v>
      </c>
      <c r="E1189" s="591">
        <v>42594</v>
      </c>
      <c r="F1189" s="592" t="s">
        <v>657</v>
      </c>
      <c r="G1189" s="593" t="s">
        <v>722</v>
      </c>
      <c r="H1189" s="555" t="s">
        <v>1073</v>
      </c>
      <c r="I1189" s="131">
        <v>90</v>
      </c>
      <c r="J1189" s="131">
        <v>8738.0535422163994</v>
      </c>
      <c r="K1189" s="21">
        <f t="shared" si="56"/>
        <v>786425</v>
      </c>
      <c r="L1189" s="550" t="s">
        <v>166</v>
      </c>
      <c r="M1189" s="550" t="s">
        <v>161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>x</v>
      </c>
      <c r="Z1189" s="563"/>
    </row>
    <row r="1190" spans="1:26" ht="15.75" customHeight="1">
      <c r="A1190" s="120" t="str">
        <f>IF(B1190&lt;&gt;"",IF(AND(B1190&gt;=_TM1,B1190&lt;=_TM2,OR(TH!L1190="1111",TH!M1190="1111")),TH!D1190,""),"")</f>
        <v/>
      </c>
      <c r="B1190" s="568">
        <f t="shared" si="60"/>
        <v>8</v>
      </c>
      <c r="C1190" s="569">
        <f t="shared" si="61"/>
        <v>42594</v>
      </c>
      <c r="D1190" s="552" t="s">
        <v>1020</v>
      </c>
      <c r="E1190" s="591">
        <v>42594</v>
      </c>
      <c r="F1190" s="592" t="s">
        <v>658</v>
      </c>
      <c r="G1190" s="593" t="s">
        <v>722</v>
      </c>
      <c r="H1190" s="555" t="s">
        <v>1073</v>
      </c>
      <c r="I1190" s="131">
        <v>650</v>
      </c>
      <c r="J1190" s="131">
        <v>6842.0607924901988</v>
      </c>
      <c r="K1190" s="21">
        <f t="shared" si="56"/>
        <v>4447340</v>
      </c>
      <c r="L1190" s="550" t="s">
        <v>166</v>
      </c>
      <c r="M1190" s="550" t="s">
        <v>161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>x</v>
      </c>
      <c r="Z1190" s="563"/>
    </row>
    <row r="1191" spans="1:26" ht="15.75" customHeight="1">
      <c r="A1191" s="120" t="str">
        <f>IF(B1191&lt;&gt;"",IF(AND(B1191&gt;=_TM1,B1191&lt;=_TM2,OR(TH!L1191="1111",TH!M1191="1111")),TH!D1191,""),"")</f>
        <v/>
      </c>
      <c r="B1191" s="568">
        <f t="shared" si="60"/>
        <v>8</v>
      </c>
      <c r="C1191" s="569">
        <f t="shared" si="61"/>
        <v>42594</v>
      </c>
      <c r="D1191" s="552" t="s">
        <v>1020</v>
      </c>
      <c r="E1191" s="591">
        <v>42594</v>
      </c>
      <c r="F1191" s="592" t="s">
        <v>659</v>
      </c>
      <c r="G1191" s="593" t="s">
        <v>722</v>
      </c>
      <c r="H1191" s="555" t="s">
        <v>1073</v>
      </c>
      <c r="I1191" s="131">
        <v>210</v>
      </c>
      <c r="J1191" s="131">
        <v>10881.3496940808</v>
      </c>
      <c r="K1191" s="21">
        <f t="shared" si="56"/>
        <v>2285083</v>
      </c>
      <c r="L1191" s="550" t="s">
        <v>166</v>
      </c>
      <c r="M1191" s="550" t="s">
        <v>161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>x</v>
      </c>
      <c r="Z1191" s="563"/>
    </row>
    <row r="1192" spans="1:26" ht="15.75" customHeight="1">
      <c r="A1192" s="120" t="str">
        <f>IF(B1192&lt;&gt;"",IF(AND(B1192&gt;=_TM1,B1192&lt;=_TM2,OR(TH!L1192="1111",TH!M1192="1111")),TH!D1192,""),"")</f>
        <v/>
      </c>
      <c r="B1192" s="568">
        <f t="shared" si="60"/>
        <v>8</v>
      </c>
      <c r="C1192" s="569">
        <f t="shared" si="61"/>
        <v>42597</v>
      </c>
      <c r="D1192" s="552" t="s">
        <v>1020</v>
      </c>
      <c r="E1192" s="591">
        <v>42597</v>
      </c>
      <c r="F1192" s="592" t="s">
        <v>525</v>
      </c>
      <c r="G1192" s="593" t="s">
        <v>723</v>
      </c>
      <c r="H1192" s="555" t="s">
        <v>1073</v>
      </c>
      <c r="I1192" s="131">
        <v>429</v>
      </c>
      <c r="J1192" s="131">
        <v>6594.7573903519997</v>
      </c>
      <c r="K1192" s="21">
        <f t="shared" si="56"/>
        <v>2829151</v>
      </c>
      <c r="L1192" s="550" t="s">
        <v>166</v>
      </c>
      <c r="M1192" s="550" t="s">
        <v>161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>x</v>
      </c>
      <c r="Z1192" s="563"/>
    </row>
    <row r="1193" spans="1:26" ht="15.75" customHeight="1">
      <c r="A1193" s="120" t="str">
        <f>IF(B1193&lt;&gt;"",IF(AND(B1193&gt;=_TM1,B1193&lt;=_TM2,OR(TH!L1193="1111",TH!M1193="1111")),TH!D1193,""),"")</f>
        <v/>
      </c>
      <c r="B1193" s="568">
        <f t="shared" si="60"/>
        <v>8</v>
      </c>
      <c r="C1193" s="569">
        <f t="shared" si="61"/>
        <v>42597</v>
      </c>
      <c r="D1193" s="552" t="s">
        <v>1020</v>
      </c>
      <c r="E1193" s="591">
        <v>42597</v>
      </c>
      <c r="F1193" s="592" t="s">
        <v>526</v>
      </c>
      <c r="G1193" s="593" t="s">
        <v>723</v>
      </c>
      <c r="H1193" s="555" t="s">
        <v>1073</v>
      </c>
      <c r="I1193" s="131">
        <v>370</v>
      </c>
      <c r="J1193" s="131">
        <v>7666.4054662842</v>
      </c>
      <c r="K1193" s="21">
        <f t="shared" si="56"/>
        <v>2836570</v>
      </c>
      <c r="L1193" s="550" t="s">
        <v>166</v>
      </c>
      <c r="M1193" s="550" t="s">
        <v>161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>x</v>
      </c>
      <c r="Z1193" s="563"/>
    </row>
    <row r="1194" spans="1:26" ht="15.75" customHeight="1">
      <c r="A1194" s="120" t="str">
        <f>IF(B1194&lt;&gt;"",IF(AND(B1194&gt;=_TM1,B1194&lt;=_TM2,OR(TH!L1194="1111",TH!M1194="1111")),TH!D1194,""),"")</f>
        <v/>
      </c>
      <c r="B1194" s="568">
        <f t="shared" si="60"/>
        <v>8</v>
      </c>
      <c r="C1194" s="569">
        <f t="shared" si="61"/>
        <v>42597</v>
      </c>
      <c r="D1194" s="552" t="s">
        <v>1020</v>
      </c>
      <c r="E1194" s="591">
        <v>42597</v>
      </c>
      <c r="F1194" s="592" t="s">
        <v>527</v>
      </c>
      <c r="G1194" s="593" t="s">
        <v>724</v>
      </c>
      <c r="H1194" s="555" t="s">
        <v>1073</v>
      </c>
      <c r="I1194" s="572">
        <v>130</v>
      </c>
      <c r="J1194" s="572">
        <v>59764.988850064998</v>
      </c>
      <c r="K1194" s="21">
        <f t="shared" si="56"/>
        <v>7769449</v>
      </c>
      <c r="L1194" s="550" t="s">
        <v>166</v>
      </c>
      <c r="M1194" s="550" t="s">
        <v>161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>x</v>
      </c>
      <c r="Z1194" s="563"/>
    </row>
    <row r="1195" spans="1:26" ht="15.75" customHeight="1">
      <c r="A1195" s="120" t="str">
        <f>IF(B1195&lt;&gt;"",IF(AND(B1195&gt;=_TM1,B1195&lt;=_TM2,OR(TH!L1195="1111",TH!M1195="1111")),TH!D1195,""),"")</f>
        <v/>
      </c>
      <c r="B1195" s="568">
        <f t="shared" si="60"/>
        <v>8</v>
      </c>
      <c r="C1195" s="569">
        <f t="shared" si="61"/>
        <v>42599</v>
      </c>
      <c r="D1195" s="552" t="s">
        <v>1020</v>
      </c>
      <c r="E1195" s="591">
        <v>42599</v>
      </c>
      <c r="F1195" s="592" t="s">
        <v>528</v>
      </c>
      <c r="G1195" s="593" t="s">
        <v>725</v>
      </c>
      <c r="H1195" s="555" t="s">
        <v>1073</v>
      </c>
      <c r="I1195" s="572">
        <v>309</v>
      </c>
      <c r="J1195" s="572">
        <v>6100.1505860755997</v>
      </c>
      <c r="K1195" s="21">
        <f t="shared" si="56"/>
        <v>1884947</v>
      </c>
      <c r="L1195" s="550" t="s">
        <v>166</v>
      </c>
      <c r="M1195" s="550" t="s">
        <v>161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>x</v>
      </c>
      <c r="Z1195" s="563"/>
    </row>
    <row r="1196" spans="1:26" ht="15.75" customHeight="1">
      <c r="A1196" s="120" t="str">
        <f>IF(B1196&lt;&gt;"",IF(AND(B1196&gt;=_TM1,B1196&lt;=_TM2,OR(TH!L1196="1111",TH!M1196="1111")),TH!D1196,""),"")</f>
        <v/>
      </c>
      <c r="B1196" s="568">
        <f t="shared" si="60"/>
        <v>8</v>
      </c>
      <c r="C1196" s="569">
        <f t="shared" si="61"/>
        <v>42599</v>
      </c>
      <c r="D1196" s="552" t="s">
        <v>1020</v>
      </c>
      <c r="E1196" s="591">
        <v>42599</v>
      </c>
      <c r="F1196" s="592" t="s">
        <v>529</v>
      </c>
      <c r="G1196" s="593" t="s">
        <v>726</v>
      </c>
      <c r="H1196" s="555" t="s">
        <v>1073</v>
      </c>
      <c r="I1196" s="131">
        <v>19</v>
      </c>
      <c r="J1196" s="131">
        <v>11293.5220309778</v>
      </c>
      <c r="K1196" s="21">
        <f t="shared" si="56"/>
        <v>214577</v>
      </c>
      <c r="L1196" s="550" t="s">
        <v>166</v>
      </c>
      <c r="M1196" s="550" t="s">
        <v>161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>x</v>
      </c>
      <c r="Z1196" s="563"/>
    </row>
    <row r="1197" spans="1:26" ht="15.75" customHeight="1">
      <c r="A1197" s="120" t="str">
        <f>IF(B1197&lt;&gt;"",IF(AND(B1197&gt;=_TM1,B1197&lt;=_TM2,OR(TH!L1197="1111",TH!M1197="1111")),TH!D1197,""),"")</f>
        <v/>
      </c>
      <c r="B1197" s="568">
        <f t="shared" si="60"/>
        <v>8</v>
      </c>
      <c r="C1197" s="569">
        <f t="shared" si="61"/>
        <v>42602</v>
      </c>
      <c r="D1197" s="552" t="s">
        <v>1020</v>
      </c>
      <c r="E1197" s="591">
        <v>42602</v>
      </c>
      <c r="F1197" s="592" t="s">
        <v>508</v>
      </c>
      <c r="G1197" s="593" t="s">
        <v>728</v>
      </c>
      <c r="H1197" s="555" t="s">
        <v>1073</v>
      </c>
      <c r="I1197" s="131">
        <v>940</v>
      </c>
      <c r="J1197" s="131">
        <v>5687.9782491785991</v>
      </c>
      <c r="K1197" s="21">
        <f t="shared" ref="K1197:K1260" si="62">ROUND(I1197*J1197,0)</f>
        <v>5346700</v>
      </c>
      <c r="L1197" s="550" t="s">
        <v>166</v>
      </c>
      <c r="M1197" s="550" t="s">
        <v>161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>x</v>
      </c>
      <c r="Z1197" s="563"/>
    </row>
    <row r="1198" spans="1:26" ht="15.75" customHeight="1">
      <c r="A1198" s="120" t="str">
        <f>IF(B1198&lt;&gt;"",IF(AND(B1198&gt;=_TM1,B1198&lt;=_TM2,OR(TH!L1198="1111",TH!M1198="1111")),TH!D1198,""),"")</f>
        <v/>
      </c>
      <c r="B1198" s="568">
        <f t="shared" si="60"/>
        <v>8</v>
      </c>
      <c r="C1198" s="569">
        <f t="shared" si="61"/>
        <v>42605</v>
      </c>
      <c r="D1198" s="552" t="s">
        <v>1020</v>
      </c>
      <c r="E1198" s="591">
        <v>42605</v>
      </c>
      <c r="F1198" s="592" t="s">
        <v>683</v>
      </c>
      <c r="G1198" s="593" t="s">
        <v>729</v>
      </c>
      <c r="H1198" s="555" t="s">
        <v>1073</v>
      </c>
      <c r="I1198" s="572">
        <v>58</v>
      </c>
      <c r="J1198" s="572">
        <v>16239.590073741798</v>
      </c>
      <c r="K1198" s="21">
        <f t="shared" si="62"/>
        <v>941896</v>
      </c>
      <c r="L1198" s="550" t="s">
        <v>166</v>
      </c>
      <c r="M1198" s="550" t="s">
        <v>161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>x</v>
      </c>
      <c r="Z1198" s="563"/>
    </row>
    <row r="1199" spans="1:26" ht="15.75" customHeight="1">
      <c r="A1199" s="120" t="str">
        <f>IF(B1199&lt;&gt;"",IF(AND(B1199&gt;=_TM1,B1199&lt;=_TM2,OR(TH!L1199="1111",TH!M1199="1111")),TH!D1199,""),"")</f>
        <v/>
      </c>
      <c r="B1199" s="568">
        <f t="shared" si="60"/>
        <v>8</v>
      </c>
      <c r="C1199" s="569">
        <f t="shared" si="61"/>
        <v>42605</v>
      </c>
      <c r="D1199" s="552" t="s">
        <v>1020</v>
      </c>
      <c r="E1199" s="591">
        <v>42605</v>
      </c>
      <c r="F1199" s="592" t="s">
        <v>496</v>
      </c>
      <c r="G1199" s="593" t="s">
        <v>729</v>
      </c>
      <c r="H1199" s="555" t="s">
        <v>1073</v>
      </c>
      <c r="I1199" s="131">
        <v>56</v>
      </c>
      <c r="J1199" s="131">
        <v>824.34467379399996</v>
      </c>
      <c r="K1199" s="21">
        <f t="shared" si="62"/>
        <v>46163</v>
      </c>
      <c r="L1199" s="550" t="s">
        <v>166</v>
      </c>
      <c r="M1199" s="550" t="s">
        <v>161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>x</v>
      </c>
      <c r="Z1199" s="563"/>
    </row>
    <row r="1200" spans="1:26" ht="15.75" customHeight="1">
      <c r="A1200" s="120" t="str">
        <f>IF(B1200&lt;&gt;"",IF(AND(B1200&gt;=_TM1,B1200&lt;=_TM2,OR(TH!L1200="1111",TH!M1200="1111")),TH!D1200,""),"")</f>
        <v/>
      </c>
      <c r="B1200" s="568">
        <f t="shared" si="60"/>
        <v>8</v>
      </c>
      <c r="C1200" s="569">
        <f t="shared" si="61"/>
        <v>42607</v>
      </c>
      <c r="D1200" s="552" t="s">
        <v>1020</v>
      </c>
      <c r="E1200" s="591">
        <v>42607</v>
      </c>
      <c r="F1200" s="592" t="s">
        <v>651</v>
      </c>
      <c r="G1200" s="593" t="s">
        <v>730</v>
      </c>
      <c r="H1200" s="555" t="s">
        <v>1073</v>
      </c>
      <c r="I1200" s="131">
        <v>1040</v>
      </c>
      <c r="J1200" s="131">
        <v>11870.563302633598</v>
      </c>
      <c r="K1200" s="21">
        <f t="shared" si="62"/>
        <v>12345386</v>
      </c>
      <c r="L1200" s="550" t="s">
        <v>166</v>
      </c>
      <c r="M1200" s="550" t="s">
        <v>161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>x</v>
      </c>
      <c r="Z1200" s="563"/>
    </row>
    <row r="1201" spans="1:26" ht="15.75" customHeight="1">
      <c r="A1201" s="120" t="str">
        <f>IF(B1201&lt;&gt;"",IF(AND(B1201&gt;=_TM1,B1201&lt;=_TM2,OR(TH!L1201="1111",TH!M1201="1111")),TH!D1201,""),"")</f>
        <v/>
      </c>
      <c r="B1201" s="568">
        <f t="shared" si="60"/>
        <v>8</v>
      </c>
      <c r="C1201" s="569">
        <f t="shared" ref="C1201:C1264" si="63">E1201</f>
        <v>42607</v>
      </c>
      <c r="D1201" s="552" t="s">
        <v>1020</v>
      </c>
      <c r="E1201" s="591">
        <v>42607</v>
      </c>
      <c r="F1201" s="592" t="s">
        <v>651</v>
      </c>
      <c r="G1201" s="593" t="s">
        <v>731</v>
      </c>
      <c r="H1201" s="555" t="s">
        <v>1073</v>
      </c>
      <c r="I1201" s="131">
        <v>110</v>
      </c>
      <c r="J1201" s="131">
        <v>11870.563302633598</v>
      </c>
      <c r="K1201" s="21">
        <f t="shared" si="62"/>
        <v>1305762</v>
      </c>
      <c r="L1201" s="550" t="s">
        <v>166</v>
      </c>
      <c r="M1201" s="550" t="s">
        <v>161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>x</v>
      </c>
      <c r="Z1201" s="563"/>
    </row>
    <row r="1202" spans="1:26" ht="15.75" customHeight="1">
      <c r="A1202" s="120" t="str">
        <f>IF(B1202&lt;&gt;"",IF(AND(B1202&gt;=_TM1,B1202&lt;=_TM2,OR(TH!L1202="1111",TH!M1202="1111")),TH!D1202,""),"")</f>
        <v/>
      </c>
      <c r="B1202" s="568">
        <f t="shared" si="60"/>
        <v>8</v>
      </c>
      <c r="C1202" s="569">
        <f t="shared" si="63"/>
        <v>42608</v>
      </c>
      <c r="D1202" s="552" t="s">
        <v>1020</v>
      </c>
      <c r="E1202" s="591">
        <v>42608</v>
      </c>
      <c r="F1202" s="592" t="s">
        <v>532</v>
      </c>
      <c r="G1202" s="593" t="s">
        <v>732</v>
      </c>
      <c r="H1202" s="555" t="s">
        <v>1073</v>
      </c>
      <c r="I1202" s="131">
        <v>120</v>
      </c>
      <c r="J1202" s="131">
        <v>12612.473509048199</v>
      </c>
      <c r="K1202" s="21">
        <f t="shared" si="62"/>
        <v>1513497</v>
      </c>
      <c r="L1202" s="550" t="s">
        <v>166</v>
      </c>
      <c r="M1202" s="550" t="s">
        <v>161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>x</v>
      </c>
      <c r="Z1202" s="563"/>
    </row>
    <row r="1203" spans="1:26" ht="15.75" customHeight="1">
      <c r="A1203" s="120" t="str">
        <f>IF(B1203&lt;&gt;"",IF(AND(B1203&gt;=_TM1,B1203&lt;=_TM2,OR(TH!L1203="1111",TH!M1203="1111")),TH!D1203,""),"")</f>
        <v/>
      </c>
      <c r="B1203" s="568">
        <f t="shared" si="60"/>
        <v>8</v>
      </c>
      <c r="C1203" s="569">
        <f t="shared" si="63"/>
        <v>42608</v>
      </c>
      <c r="D1203" s="552" t="s">
        <v>1020</v>
      </c>
      <c r="E1203" s="591">
        <v>42608</v>
      </c>
      <c r="F1203" s="592" t="s">
        <v>533</v>
      </c>
      <c r="G1203" s="593" t="s">
        <v>732</v>
      </c>
      <c r="H1203" s="555" t="s">
        <v>1073</v>
      </c>
      <c r="I1203" s="131">
        <v>240</v>
      </c>
      <c r="J1203" s="131">
        <v>1566.2548802085998</v>
      </c>
      <c r="K1203" s="21">
        <f t="shared" si="62"/>
        <v>375901</v>
      </c>
      <c r="L1203" s="550" t="s">
        <v>166</v>
      </c>
      <c r="M1203" s="550" t="s">
        <v>161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>x</v>
      </c>
      <c r="Z1203" s="563"/>
    </row>
    <row r="1204" spans="1:26" ht="15.75" customHeight="1">
      <c r="A1204" s="120" t="str">
        <f>IF(B1204&lt;&gt;"",IF(AND(B1204&gt;=_TM1,B1204&lt;=_TM2,OR(TH!L1204="1111",TH!M1204="1111")),TH!D1204,""),"")</f>
        <v/>
      </c>
      <c r="B1204" s="568">
        <f t="shared" si="60"/>
        <v>8</v>
      </c>
      <c r="C1204" s="569">
        <f t="shared" si="63"/>
        <v>42608</v>
      </c>
      <c r="D1204" s="552" t="s">
        <v>1020</v>
      </c>
      <c r="E1204" s="591">
        <v>42608</v>
      </c>
      <c r="F1204" s="592" t="s">
        <v>513</v>
      </c>
      <c r="G1204" s="593" t="s">
        <v>733</v>
      </c>
      <c r="H1204" s="555" t="s">
        <v>1073</v>
      </c>
      <c r="I1204" s="131">
        <v>513</v>
      </c>
      <c r="J1204" s="131">
        <v>7831.2744010429988</v>
      </c>
      <c r="K1204" s="21">
        <f t="shared" si="62"/>
        <v>4017444</v>
      </c>
      <c r="L1204" s="550" t="s">
        <v>166</v>
      </c>
      <c r="M1204" s="550" t="s">
        <v>161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>x</v>
      </c>
      <c r="Z1204" s="563"/>
    </row>
    <row r="1205" spans="1:26" ht="15.75" customHeight="1">
      <c r="A1205" s="120" t="str">
        <f>IF(B1205&lt;&gt;"",IF(AND(B1205&gt;=_TM1,B1205&lt;=_TM2,OR(TH!L1205="1111",TH!M1205="1111")),TH!D1205,""),"")</f>
        <v/>
      </c>
      <c r="B1205" s="568">
        <f t="shared" si="60"/>
        <v>8</v>
      </c>
      <c r="C1205" s="569">
        <f t="shared" si="63"/>
        <v>42608</v>
      </c>
      <c r="D1205" s="552" t="s">
        <v>1020</v>
      </c>
      <c r="E1205" s="591">
        <v>42608</v>
      </c>
      <c r="F1205" s="592" t="s">
        <v>534</v>
      </c>
      <c r="G1205" s="593" t="s">
        <v>734</v>
      </c>
      <c r="H1205" s="555" t="s">
        <v>1073</v>
      </c>
      <c r="I1205" s="131">
        <v>1000</v>
      </c>
      <c r="J1205" s="131">
        <v>5935.2816513167991</v>
      </c>
      <c r="K1205" s="21">
        <f t="shared" si="62"/>
        <v>5935282</v>
      </c>
      <c r="L1205" s="550" t="s">
        <v>166</v>
      </c>
      <c r="M1205" s="550" t="s">
        <v>161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>x</v>
      </c>
      <c r="Z1205" s="563"/>
    </row>
    <row r="1206" spans="1:26" ht="15.75" customHeight="1">
      <c r="A1206" s="120" t="str">
        <f>IF(B1206&lt;&gt;"",IF(AND(B1206&gt;=_TM1,B1206&lt;=_TM2,OR(TH!L1206="1111",TH!M1206="1111")),TH!D1206,""),"")</f>
        <v/>
      </c>
      <c r="B1206" s="568">
        <f t="shared" si="60"/>
        <v>8</v>
      </c>
      <c r="C1206" s="569">
        <f t="shared" si="63"/>
        <v>42608</v>
      </c>
      <c r="D1206" s="552" t="s">
        <v>1020</v>
      </c>
      <c r="E1206" s="591">
        <v>42608</v>
      </c>
      <c r="F1206" s="592" t="s">
        <v>535</v>
      </c>
      <c r="G1206" s="593" t="s">
        <v>734</v>
      </c>
      <c r="H1206" s="555" t="s">
        <v>1073</v>
      </c>
      <c r="I1206" s="572">
        <v>970</v>
      </c>
      <c r="J1206" s="572">
        <v>6182.5850534549991</v>
      </c>
      <c r="K1206" s="21">
        <f t="shared" si="62"/>
        <v>5997108</v>
      </c>
      <c r="L1206" s="550" t="s">
        <v>166</v>
      </c>
      <c r="M1206" s="550" t="s">
        <v>161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>x</v>
      </c>
      <c r="Z1206" s="563"/>
    </row>
    <row r="1207" spans="1:26" ht="15.75" customHeight="1">
      <c r="A1207" s="120" t="str">
        <f>IF(B1207&lt;&gt;"",IF(AND(B1207&gt;=_TM1,B1207&lt;=_TM2,OR(TH!L1207="1111",TH!M1207="1111")),TH!D1207,""),"")</f>
        <v/>
      </c>
      <c r="B1207" s="568">
        <f t="shared" si="60"/>
        <v>8</v>
      </c>
      <c r="C1207" s="569">
        <f t="shared" si="63"/>
        <v>42609</v>
      </c>
      <c r="D1207" s="552" t="s">
        <v>1020</v>
      </c>
      <c r="E1207" s="591">
        <v>42609</v>
      </c>
      <c r="F1207" s="592" t="s">
        <v>536</v>
      </c>
      <c r="G1207" s="593" t="s">
        <v>735</v>
      </c>
      <c r="H1207" s="555" t="s">
        <v>1073</v>
      </c>
      <c r="I1207" s="131">
        <v>203</v>
      </c>
      <c r="J1207" s="131">
        <v>6429.8884555932</v>
      </c>
      <c r="K1207" s="21">
        <f t="shared" si="62"/>
        <v>1305267</v>
      </c>
      <c r="L1207" s="550" t="s">
        <v>166</v>
      </c>
      <c r="M1207" s="550" t="s">
        <v>161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>x</v>
      </c>
      <c r="Z1207" s="563"/>
    </row>
    <row r="1208" spans="1:26" ht="15.75" customHeight="1">
      <c r="A1208" s="120" t="str">
        <f>IF(B1208&lt;&gt;"",IF(AND(B1208&gt;=_TM1,B1208&lt;=_TM2,OR(TH!L1208="1111",TH!M1208="1111")),TH!D1208,""),"")</f>
        <v/>
      </c>
      <c r="B1208" s="568">
        <f t="shared" si="60"/>
        <v>8</v>
      </c>
      <c r="C1208" s="569">
        <f t="shared" si="63"/>
        <v>42611</v>
      </c>
      <c r="D1208" s="552" t="s">
        <v>1020</v>
      </c>
      <c r="E1208" s="591">
        <v>42611</v>
      </c>
      <c r="F1208" s="592" t="s">
        <v>527</v>
      </c>
      <c r="G1208" s="593" t="s">
        <v>736</v>
      </c>
      <c r="H1208" s="555" t="s">
        <v>1073</v>
      </c>
      <c r="I1208" s="131">
        <v>160</v>
      </c>
      <c r="J1208" s="131">
        <v>59764.988850064998</v>
      </c>
      <c r="K1208" s="21">
        <f t="shared" si="62"/>
        <v>9562398</v>
      </c>
      <c r="L1208" s="550" t="s">
        <v>166</v>
      </c>
      <c r="M1208" s="550" t="s">
        <v>161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>x</v>
      </c>
      <c r="Z1208" s="563"/>
    </row>
    <row r="1209" spans="1:26" ht="15.75" customHeight="1">
      <c r="A1209" s="120" t="str">
        <f>IF(B1209&lt;&gt;"",IF(AND(B1209&gt;=_TM1,B1209&lt;=_TM2,OR(TH!L1209="1111",TH!M1209="1111")),TH!D1209,""),"")</f>
        <v/>
      </c>
      <c r="B1209" s="568">
        <f t="shared" si="60"/>
        <v>8</v>
      </c>
      <c r="C1209" s="569">
        <f t="shared" si="63"/>
        <v>42612</v>
      </c>
      <c r="D1209" s="552" t="s">
        <v>1020</v>
      </c>
      <c r="E1209" s="591">
        <v>42612</v>
      </c>
      <c r="F1209" s="592" t="s">
        <v>368</v>
      </c>
      <c r="G1209" s="593" t="s">
        <v>737</v>
      </c>
      <c r="H1209" s="555" t="s">
        <v>1073</v>
      </c>
      <c r="I1209" s="131">
        <v>500</v>
      </c>
      <c r="J1209" s="131">
        <v>19042.361964641397</v>
      </c>
      <c r="K1209" s="21">
        <f t="shared" si="62"/>
        <v>9521181</v>
      </c>
      <c r="L1209" s="550" t="s">
        <v>166</v>
      </c>
      <c r="M1209" s="550" t="s">
        <v>161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>x</v>
      </c>
      <c r="Z1209" s="563"/>
    </row>
    <row r="1210" spans="1:26" ht="15.75" customHeight="1">
      <c r="A1210" s="120" t="str">
        <f>IF(B1210&lt;&gt;"",IF(AND(B1210&gt;=_TM1,B1210&lt;=_TM2,OR(TH!L1210="1111",TH!M1210="1111")),TH!D1210,""),"")</f>
        <v/>
      </c>
      <c r="B1210" s="568">
        <f t="shared" si="60"/>
        <v>8</v>
      </c>
      <c r="C1210" s="569">
        <f t="shared" si="63"/>
        <v>42613</v>
      </c>
      <c r="D1210" s="552" t="s">
        <v>1020</v>
      </c>
      <c r="E1210" s="591">
        <v>42613</v>
      </c>
      <c r="F1210" s="592" t="s">
        <v>500</v>
      </c>
      <c r="G1210" s="593" t="s">
        <v>738</v>
      </c>
      <c r="H1210" s="555" t="s">
        <v>1073</v>
      </c>
      <c r="I1210" s="131">
        <v>1500</v>
      </c>
      <c r="J1210" s="131">
        <v>9397.5292812515981</v>
      </c>
      <c r="K1210" s="21">
        <f t="shared" si="62"/>
        <v>14096294</v>
      </c>
      <c r="L1210" s="550" t="s">
        <v>166</v>
      </c>
      <c r="M1210" s="550" t="s">
        <v>161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>x</v>
      </c>
      <c r="Z1210" s="563"/>
    </row>
    <row r="1211" spans="1:26" ht="15.75" customHeight="1">
      <c r="A1211" s="120" t="str">
        <f>IF(B1211&lt;&gt;"",IF(AND(B1211&gt;=_TM1,B1211&lt;=_TM2,OR(TH!L1211="1111",TH!M1211="1111")),TH!D1211,""),"")</f>
        <v/>
      </c>
      <c r="B1211" s="568">
        <f t="shared" si="60"/>
        <v>8</v>
      </c>
      <c r="C1211" s="569">
        <f t="shared" si="63"/>
        <v>42613</v>
      </c>
      <c r="D1211" s="552" t="s">
        <v>1020</v>
      </c>
      <c r="E1211" s="591">
        <v>42613</v>
      </c>
      <c r="F1211" s="592" t="s">
        <v>500</v>
      </c>
      <c r="G1211" s="593" t="s">
        <v>738</v>
      </c>
      <c r="H1211" s="555" t="s">
        <v>1073</v>
      </c>
      <c r="I1211" s="131">
        <v>400</v>
      </c>
      <c r="J1211" s="131">
        <v>9397.5292812515981</v>
      </c>
      <c r="K1211" s="21">
        <f t="shared" si="62"/>
        <v>3759012</v>
      </c>
      <c r="L1211" s="550" t="s">
        <v>166</v>
      </c>
      <c r="M1211" s="550" t="s">
        <v>161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>x</v>
      </c>
      <c r="Z1211" s="563"/>
    </row>
    <row r="1212" spans="1:26" ht="15.75" customHeight="1">
      <c r="A1212" s="120" t="str">
        <f>IF(B1212&lt;&gt;"",IF(AND(B1212&gt;=_TM1,B1212&lt;=_TM2,OR(TH!L1212="1111",TH!M1212="1111")),TH!D1212,""),"")</f>
        <v/>
      </c>
      <c r="B1212" s="568">
        <f t="shared" si="60"/>
        <v>8</v>
      </c>
      <c r="C1212" s="569">
        <f t="shared" si="63"/>
        <v>42613</v>
      </c>
      <c r="D1212" s="552" t="s">
        <v>1020</v>
      </c>
      <c r="E1212" s="591">
        <v>42613</v>
      </c>
      <c r="F1212" s="592" t="s">
        <v>375</v>
      </c>
      <c r="G1212" s="593" t="s">
        <v>738</v>
      </c>
      <c r="H1212" s="555" t="s">
        <v>1073</v>
      </c>
      <c r="I1212" s="131">
        <v>3800</v>
      </c>
      <c r="J1212" s="131">
        <v>741.91020641459988</v>
      </c>
      <c r="K1212" s="21">
        <f t="shared" si="62"/>
        <v>2819259</v>
      </c>
      <c r="L1212" s="550" t="s">
        <v>166</v>
      </c>
      <c r="M1212" s="550" t="s">
        <v>161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>x</v>
      </c>
      <c r="Z1212" s="563"/>
    </row>
    <row r="1213" spans="1:26" ht="15.75" customHeight="1">
      <c r="A1213" s="120" t="str">
        <f>IF(B1213&lt;&gt;"",IF(AND(B1213&gt;=_TM1,B1213&lt;=_TM2,OR(TH!L1213="1111",TH!M1213="1111")),TH!D1213,""),"")</f>
        <v/>
      </c>
      <c r="B1213" s="568">
        <f t="shared" si="60"/>
        <v>8</v>
      </c>
      <c r="C1213" s="569">
        <f t="shared" si="63"/>
        <v>42613</v>
      </c>
      <c r="D1213" s="552" t="s">
        <v>1020</v>
      </c>
      <c r="E1213" s="591">
        <v>42613</v>
      </c>
      <c r="F1213" s="592" t="s">
        <v>518</v>
      </c>
      <c r="G1213" s="593" t="s">
        <v>739</v>
      </c>
      <c r="H1213" s="555" t="s">
        <v>1073</v>
      </c>
      <c r="I1213" s="131">
        <v>819</v>
      </c>
      <c r="J1213" s="131">
        <v>6759.6263251107994</v>
      </c>
      <c r="K1213" s="21">
        <f t="shared" si="62"/>
        <v>5536134</v>
      </c>
      <c r="L1213" s="550" t="s">
        <v>166</v>
      </c>
      <c r="M1213" s="550" t="s">
        <v>161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>x</v>
      </c>
      <c r="Z1213" s="563"/>
    </row>
    <row r="1214" spans="1:26" ht="15.75" customHeight="1">
      <c r="A1214" s="120" t="str">
        <f>IF(B1214&lt;&gt;"",IF(AND(B1214&gt;=_TM1,B1214&lt;=_TM2,OR(TH!L1214="1111",TH!M1214="1111")),TH!D1214,""),"")</f>
        <v/>
      </c>
      <c r="B1214" s="568">
        <f t="shared" si="60"/>
        <v>8</v>
      </c>
      <c r="C1214" s="569">
        <f t="shared" si="63"/>
        <v>42613</v>
      </c>
      <c r="D1214" s="552" t="s">
        <v>1020</v>
      </c>
      <c r="E1214" s="591">
        <v>42613</v>
      </c>
      <c r="F1214" s="592" t="s">
        <v>544</v>
      </c>
      <c r="G1214" s="593" t="s">
        <v>739</v>
      </c>
      <c r="H1214" s="555" t="s">
        <v>1073</v>
      </c>
      <c r="I1214" s="131">
        <v>610</v>
      </c>
      <c r="J1214" s="131">
        <v>7501.5365315253994</v>
      </c>
      <c r="K1214" s="21">
        <f t="shared" si="62"/>
        <v>4575937</v>
      </c>
      <c r="L1214" s="550" t="s">
        <v>166</v>
      </c>
      <c r="M1214" s="550" t="s">
        <v>161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>x</v>
      </c>
      <c r="Z1214" s="563"/>
    </row>
    <row r="1215" spans="1:26" ht="15.75" customHeight="1">
      <c r="A1215" s="120" t="str">
        <f>IF(B1215&lt;&gt;"",IF(AND(B1215&gt;=_TM1,B1215&lt;=_TM2,OR(TH!L1215="1111",TH!M1215="1111")),TH!D1215,""),"")</f>
        <v/>
      </c>
      <c r="B1215" s="568">
        <f t="shared" si="60"/>
        <v>8</v>
      </c>
      <c r="C1215" s="569">
        <f t="shared" si="63"/>
        <v>42613</v>
      </c>
      <c r="D1215" s="552" t="s">
        <v>1020</v>
      </c>
      <c r="E1215" s="591">
        <v>42613</v>
      </c>
      <c r="F1215" s="592" t="s">
        <v>520</v>
      </c>
      <c r="G1215" s="593" t="s">
        <v>739</v>
      </c>
      <c r="H1215" s="555" t="s">
        <v>1073</v>
      </c>
      <c r="I1215" s="572">
        <v>599</v>
      </c>
      <c r="J1215" s="572">
        <v>13024.645845945199</v>
      </c>
      <c r="K1215" s="21">
        <f t="shared" si="62"/>
        <v>7801763</v>
      </c>
      <c r="L1215" s="550" t="s">
        <v>166</v>
      </c>
      <c r="M1215" s="550" t="s">
        <v>161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>x</v>
      </c>
      <c r="Z1215" s="563"/>
    </row>
    <row r="1216" spans="1:26" ht="15.75" customHeight="1">
      <c r="A1216" s="120" t="str">
        <f>IF(B1216&lt;&gt;"",IF(AND(B1216&gt;=_TM1,B1216&lt;=_TM2,OR(TH!L1216="1111",TH!M1216="1111")),TH!D1216,""),"")</f>
        <v/>
      </c>
      <c r="B1216" s="568">
        <f t="shared" si="60"/>
        <v>8</v>
      </c>
      <c r="C1216" s="569">
        <f t="shared" si="63"/>
        <v>42613</v>
      </c>
      <c r="D1216" s="552" t="s">
        <v>1020</v>
      </c>
      <c r="E1216" s="591">
        <v>42613</v>
      </c>
      <c r="F1216" s="592" t="s">
        <v>623</v>
      </c>
      <c r="G1216" s="593" t="s">
        <v>739</v>
      </c>
      <c r="H1216" s="555" t="s">
        <v>1073</v>
      </c>
      <c r="I1216" s="572">
        <v>305</v>
      </c>
      <c r="J1216" s="572">
        <v>15827.417736844798</v>
      </c>
      <c r="K1216" s="21">
        <f t="shared" si="62"/>
        <v>4827362</v>
      </c>
      <c r="L1216" s="550" t="s">
        <v>166</v>
      </c>
      <c r="M1216" s="550" t="s">
        <v>161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>x</v>
      </c>
      <c r="Z1216" s="563"/>
    </row>
    <row r="1217" spans="1:26" ht="15.75" customHeight="1">
      <c r="A1217" s="120" t="str">
        <f>IF(B1217&lt;&gt;"",IF(AND(B1217&gt;=_TM1,B1217&lt;=_TM2,OR(TH!L1217="1111",TH!M1217="1111")),TH!D1217,""),"")</f>
        <v/>
      </c>
      <c r="B1217" s="568">
        <f t="shared" si="60"/>
        <v>9</v>
      </c>
      <c r="C1217" s="569">
        <f t="shared" si="63"/>
        <v>42614</v>
      </c>
      <c r="D1217" s="552" t="s">
        <v>1020</v>
      </c>
      <c r="E1217" s="591">
        <v>42614</v>
      </c>
      <c r="F1217" s="592" t="s">
        <v>538</v>
      </c>
      <c r="G1217" s="593" t="s">
        <v>740</v>
      </c>
      <c r="H1217" s="555" t="s">
        <v>1073</v>
      </c>
      <c r="I1217" s="131">
        <v>504</v>
      </c>
      <c r="J1217" s="131">
        <v>7996.1433358017994</v>
      </c>
      <c r="K1217" s="21">
        <f t="shared" si="62"/>
        <v>4030056</v>
      </c>
      <c r="L1217" s="550" t="s">
        <v>166</v>
      </c>
      <c r="M1217" s="550" t="s">
        <v>161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>x</v>
      </c>
      <c r="Z1217" s="563"/>
    </row>
    <row r="1218" spans="1:26" ht="15.75" customHeight="1">
      <c r="A1218" s="120" t="str">
        <f>IF(B1218&lt;&gt;"",IF(AND(B1218&gt;=_TM1,B1218&lt;=_TM2,OR(TH!L1218="1111",TH!M1218="1111")),TH!D1218,""),"")</f>
        <v/>
      </c>
      <c r="B1218" s="568">
        <f t="shared" si="60"/>
        <v>9</v>
      </c>
      <c r="C1218" s="569">
        <f t="shared" si="63"/>
        <v>42614</v>
      </c>
      <c r="D1218" s="552" t="s">
        <v>1020</v>
      </c>
      <c r="E1218" s="591">
        <v>42614</v>
      </c>
      <c r="F1218" s="592" t="s">
        <v>539</v>
      </c>
      <c r="G1218" s="593" t="s">
        <v>741</v>
      </c>
      <c r="H1218" s="555" t="s">
        <v>1073</v>
      </c>
      <c r="I1218" s="131">
        <v>2660</v>
      </c>
      <c r="J1218" s="131">
        <v>5358.2403796609997</v>
      </c>
      <c r="K1218" s="21">
        <f t="shared" si="62"/>
        <v>14252919</v>
      </c>
      <c r="L1218" s="550" t="s">
        <v>166</v>
      </c>
      <c r="M1218" s="550" t="s">
        <v>161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>x</v>
      </c>
      <c r="Z1218" s="563"/>
    </row>
    <row r="1219" spans="1:26" ht="15.75" customHeight="1">
      <c r="A1219" s="120" t="str">
        <f>IF(B1219&lt;&gt;"",IF(AND(B1219&gt;=_TM1,B1219&lt;=_TM2,OR(TH!L1219="1111",TH!M1219="1111")),TH!D1219,""),"")</f>
        <v/>
      </c>
      <c r="B1219" s="568">
        <f t="shared" si="60"/>
        <v>9</v>
      </c>
      <c r="C1219" s="569">
        <f t="shared" si="63"/>
        <v>42618</v>
      </c>
      <c r="D1219" s="552" t="s">
        <v>1020</v>
      </c>
      <c r="E1219" s="591">
        <v>42618</v>
      </c>
      <c r="F1219" s="592" t="s">
        <v>649</v>
      </c>
      <c r="G1219" s="593" t="s">
        <v>742</v>
      </c>
      <c r="H1219" s="555" t="s">
        <v>1073</v>
      </c>
      <c r="I1219" s="131">
        <v>412</v>
      </c>
      <c r="J1219" s="131">
        <v>8573.1846074575988</v>
      </c>
      <c r="K1219" s="21">
        <f t="shared" si="62"/>
        <v>3532152</v>
      </c>
      <c r="L1219" s="550" t="s">
        <v>166</v>
      </c>
      <c r="M1219" s="550" t="s">
        <v>161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>x</v>
      </c>
      <c r="Z1219" s="563"/>
    </row>
    <row r="1220" spans="1:26" ht="15.75" customHeight="1">
      <c r="A1220" s="120" t="str">
        <f>IF(B1220&lt;&gt;"",IF(AND(B1220&gt;=_TM1,B1220&lt;=_TM2,OR(TH!L1220="1111",TH!M1220="1111")),TH!D1220,""),"")</f>
        <v/>
      </c>
      <c r="B1220" s="568">
        <f t="shared" si="60"/>
        <v>9</v>
      </c>
      <c r="C1220" s="569">
        <f t="shared" si="63"/>
        <v>42618</v>
      </c>
      <c r="D1220" s="552" t="s">
        <v>1020</v>
      </c>
      <c r="E1220" s="591">
        <v>42618</v>
      </c>
      <c r="F1220" s="592" t="s">
        <v>498</v>
      </c>
      <c r="G1220" s="593" t="s">
        <v>742</v>
      </c>
      <c r="H1220" s="555" t="s">
        <v>1073</v>
      </c>
      <c r="I1220" s="131">
        <v>382</v>
      </c>
      <c r="J1220" s="131">
        <v>10551.611824563199</v>
      </c>
      <c r="K1220" s="21">
        <f t="shared" si="62"/>
        <v>4030716</v>
      </c>
      <c r="L1220" s="550" t="s">
        <v>166</v>
      </c>
      <c r="M1220" s="550" t="s">
        <v>161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>x</v>
      </c>
      <c r="Z1220" s="563"/>
    </row>
    <row r="1221" spans="1:26" ht="15.75" customHeight="1">
      <c r="A1221" s="120" t="str">
        <f>IF(B1221&lt;&gt;"",IF(AND(B1221&gt;=_TM1,B1221&lt;=_TM2,OR(TH!L1221="1111",TH!M1221="1111")),TH!D1221,""),"")</f>
        <v/>
      </c>
      <c r="B1221" s="568">
        <f t="shared" si="60"/>
        <v>9</v>
      </c>
      <c r="C1221" s="569">
        <f t="shared" si="63"/>
        <v>42618</v>
      </c>
      <c r="D1221" s="552" t="s">
        <v>1020</v>
      </c>
      <c r="E1221" s="591">
        <v>42618</v>
      </c>
      <c r="F1221" s="592" t="s">
        <v>498</v>
      </c>
      <c r="G1221" s="593" t="s">
        <v>742</v>
      </c>
      <c r="H1221" s="555" t="s">
        <v>1073</v>
      </c>
      <c r="I1221" s="131">
        <v>110</v>
      </c>
      <c r="J1221" s="131">
        <v>10551.611824563199</v>
      </c>
      <c r="K1221" s="21">
        <f t="shared" si="62"/>
        <v>1160677</v>
      </c>
      <c r="L1221" s="550" t="s">
        <v>166</v>
      </c>
      <c r="M1221" s="550" t="s">
        <v>161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>x</v>
      </c>
      <c r="Z1221" s="563"/>
    </row>
    <row r="1222" spans="1:26" ht="15.75" customHeight="1">
      <c r="A1222" s="120" t="str">
        <f>IF(B1222&lt;&gt;"",IF(AND(B1222&gt;=_TM1,B1222&lt;=_TM2,OR(TH!L1222="1111",TH!M1222="1111")),TH!D1222,""),"")</f>
        <v/>
      </c>
      <c r="B1222" s="568">
        <f t="shared" si="60"/>
        <v>9</v>
      </c>
      <c r="C1222" s="569">
        <f t="shared" si="63"/>
        <v>42618</v>
      </c>
      <c r="D1222" s="552" t="s">
        <v>1020</v>
      </c>
      <c r="E1222" s="591">
        <v>42618</v>
      </c>
      <c r="F1222" s="592" t="s">
        <v>650</v>
      </c>
      <c r="G1222" s="593" t="s">
        <v>742</v>
      </c>
      <c r="H1222" s="555" t="s">
        <v>1073</v>
      </c>
      <c r="I1222" s="131">
        <v>110</v>
      </c>
      <c r="J1222" s="131">
        <v>7006.9297272489994</v>
      </c>
      <c r="K1222" s="21">
        <f t="shared" si="62"/>
        <v>770762</v>
      </c>
      <c r="L1222" s="550" t="s">
        <v>166</v>
      </c>
      <c r="M1222" s="550" t="s">
        <v>161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>x</v>
      </c>
      <c r="Z1222" s="563"/>
    </row>
    <row r="1223" spans="1:26" ht="15.75" customHeight="1">
      <c r="A1223" s="120" t="str">
        <f>IF(B1223&lt;&gt;"",IF(AND(B1223&gt;=_TM1,B1223&lt;=_TM2,OR(TH!L1223="1111",TH!M1223="1111")),TH!D1223,""),"")</f>
        <v/>
      </c>
      <c r="B1223" s="568">
        <f t="shared" si="60"/>
        <v>9</v>
      </c>
      <c r="C1223" s="569">
        <f t="shared" si="63"/>
        <v>42618</v>
      </c>
      <c r="D1223" s="552" t="s">
        <v>1020</v>
      </c>
      <c r="E1223" s="591">
        <v>42618</v>
      </c>
      <c r="F1223" s="592" t="s">
        <v>651</v>
      </c>
      <c r="G1223" s="593" t="s">
        <v>743</v>
      </c>
      <c r="H1223" s="555" t="s">
        <v>1073</v>
      </c>
      <c r="I1223" s="131">
        <v>65</v>
      </c>
      <c r="J1223" s="131">
        <v>11870.563302633598</v>
      </c>
      <c r="K1223" s="21">
        <f t="shared" si="62"/>
        <v>771587</v>
      </c>
      <c r="L1223" s="550" t="s">
        <v>166</v>
      </c>
      <c r="M1223" s="550" t="s">
        <v>161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>x</v>
      </c>
      <c r="Z1223" s="563"/>
    </row>
    <row r="1224" spans="1:26" ht="15.75" customHeight="1">
      <c r="A1224" s="120" t="str">
        <f>IF(B1224&lt;&gt;"",IF(AND(B1224&gt;=_TM1,B1224&lt;=_TM2,OR(TH!L1224="1111",TH!M1224="1111")),TH!D1224,""),"")</f>
        <v/>
      </c>
      <c r="B1224" s="568">
        <f t="shared" si="60"/>
        <v>9</v>
      </c>
      <c r="C1224" s="569">
        <f t="shared" si="63"/>
        <v>42618</v>
      </c>
      <c r="D1224" s="552" t="s">
        <v>1020</v>
      </c>
      <c r="E1224" s="591">
        <v>42618</v>
      </c>
      <c r="F1224" s="592" t="s">
        <v>652</v>
      </c>
      <c r="G1224" s="593" t="s">
        <v>743</v>
      </c>
      <c r="H1224" s="555" t="s">
        <v>1073</v>
      </c>
      <c r="I1224" s="131">
        <v>917</v>
      </c>
      <c r="J1224" s="131">
        <v>8820.4880095957997</v>
      </c>
      <c r="K1224" s="21">
        <f t="shared" si="62"/>
        <v>8088388</v>
      </c>
      <c r="L1224" s="550" t="s">
        <v>166</v>
      </c>
      <c r="M1224" s="550" t="s">
        <v>161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>x</v>
      </c>
      <c r="Z1224" s="563"/>
    </row>
    <row r="1225" spans="1:26" ht="15.75" customHeight="1">
      <c r="A1225" s="120" t="str">
        <f>IF(B1225&lt;&gt;"",IF(AND(B1225&gt;=_TM1,B1225&lt;=_TM2,OR(TH!L1225="1111",TH!M1225="1111")),TH!D1225,""),"")</f>
        <v/>
      </c>
      <c r="B1225" s="568">
        <f t="shared" si="60"/>
        <v>9</v>
      </c>
      <c r="C1225" s="569">
        <f t="shared" si="63"/>
        <v>42618</v>
      </c>
      <c r="D1225" s="552" t="s">
        <v>1020</v>
      </c>
      <c r="E1225" s="591">
        <v>42618</v>
      </c>
      <c r="F1225" s="592" t="s">
        <v>498</v>
      </c>
      <c r="G1225" s="593" t="s">
        <v>743</v>
      </c>
      <c r="H1225" s="555" t="s">
        <v>1073</v>
      </c>
      <c r="I1225" s="131">
        <v>72</v>
      </c>
      <c r="J1225" s="131">
        <v>10551.611824563199</v>
      </c>
      <c r="K1225" s="21">
        <f t="shared" si="62"/>
        <v>759716</v>
      </c>
      <c r="L1225" s="550" t="s">
        <v>166</v>
      </c>
      <c r="M1225" s="550" t="s">
        <v>161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>x</v>
      </c>
      <c r="Z1225" s="563"/>
    </row>
    <row r="1226" spans="1:26" ht="15.75" customHeight="1">
      <c r="A1226" s="120" t="str">
        <f>IF(B1226&lt;&gt;"",IF(AND(B1226&gt;=_TM1,B1226&lt;=_TM2,OR(TH!L1226="1111",TH!M1226="1111")),TH!D1226,""),"")</f>
        <v/>
      </c>
      <c r="B1226" s="568">
        <f t="shared" si="60"/>
        <v>9</v>
      </c>
      <c r="C1226" s="569">
        <f t="shared" si="63"/>
        <v>42619</v>
      </c>
      <c r="D1226" s="552" t="s">
        <v>1020</v>
      </c>
      <c r="E1226" s="591">
        <v>42619</v>
      </c>
      <c r="F1226" s="592" t="s">
        <v>508</v>
      </c>
      <c r="G1226" s="593" t="s">
        <v>744</v>
      </c>
      <c r="H1226" s="555" t="s">
        <v>1073</v>
      </c>
      <c r="I1226" s="131">
        <v>1036</v>
      </c>
      <c r="J1226" s="131">
        <v>5687.9782491785991</v>
      </c>
      <c r="K1226" s="21">
        <f t="shared" si="62"/>
        <v>5892745</v>
      </c>
      <c r="L1226" s="550" t="s">
        <v>166</v>
      </c>
      <c r="M1226" s="550" t="s">
        <v>161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>x</v>
      </c>
      <c r="Z1226" s="563"/>
    </row>
    <row r="1227" spans="1:26" ht="15.75" customHeight="1">
      <c r="A1227" s="120" t="str">
        <f>IF(B1227&lt;&gt;"",IF(AND(B1227&gt;=_TM1,B1227&lt;=_TM2,OR(TH!L1227="1111",TH!M1227="1111")),TH!D1227,""),"")</f>
        <v/>
      </c>
      <c r="B1227" s="568">
        <f t="shared" si="60"/>
        <v>9</v>
      </c>
      <c r="C1227" s="569">
        <f t="shared" si="63"/>
        <v>42619</v>
      </c>
      <c r="D1227" s="552" t="s">
        <v>1020</v>
      </c>
      <c r="E1227" s="591">
        <v>42619</v>
      </c>
      <c r="F1227" s="592" t="s">
        <v>662</v>
      </c>
      <c r="G1227" s="593" t="s">
        <v>746</v>
      </c>
      <c r="H1227" s="555" t="s">
        <v>1073</v>
      </c>
      <c r="I1227" s="131">
        <v>212</v>
      </c>
      <c r="J1227" s="131">
        <v>7748.8399336635994</v>
      </c>
      <c r="K1227" s="21">
        <f t="shared" si="62"/>
        <v>1642754</v>
      </c>
      <c r="L1227" s="550" t="s">
        <v>166</v>
      </c>
      <c r="M1227" s="550" t="s">
        <v>161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>x</v>
      </c>
      <c r="Z1227" s="563"/>
    </row>
    <row r="1228" spans="1:26" ht="15.75" customHeight="1">
      <c r="A1228" s="120" t="str">
        <f>IF(B1228&lt;&gt;"",IF(AND(B1228&gt;=_TM1,B1228&lt;=_TM2,OR(TH!L1228="1111",TH!M1228="1111")),TH!D1228,""),"")</f>
        <v/>
      </c>
      <c r="B1228" s="568">
        <f t="shared" si="60"/>
        <v>9</v>
      </c>
      <c r="C1228" s="569">
        <f t="shared" si="63"/>
        <v>42620</v>
      </c>
      <c r="D1228" s="552" t="s">
        <v>1020</v>
      </c>
      <c r="E1228" s="591">
        <v>42620</v>
      </c>
      <c r="F1228" s="592" t="s">
        <v>527</v>
      </c>
      <c r="G1228" s="593" t="s">
        <v>748</v>
      </c>
      <c r="H1228" s="555" t="s">
        <v>1073</v>
      </c>
      <c r="I1228" s="131">
        <v>60</v>
      </c>
      <c r="J1228" s="131">
        <v>59764.988850064998</v>
      </c>
      <c r="K1228" s="21">
        <f t="shared" si="62"/>
        <v>3585899</v>
      </c>
      <c r="L1228" s="550" t="s">
        <v>166</v>
      </c>
      <c r="M1228" s="550" t="s">
        <v>161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>x</v>
      </c>
      <c r="Z1228" s="563"/>
    </row>
    <row r="1229" spans="1:26" ht="15.75" customHeight="1">
      <c r="A1229" s="120" t="str">
        <f>IF(B1229&lt;&gt;"",IF(AND(B1229&gt;=_TM1,B1229&lt;=_TM2,OR(TH!L1229="1111",TH!M1229="1111")),TH!D1229,""),"")</f>
        <v/>
      </c>
      <c r="B1229" s="568">
        <f t="shared" si="60"/>
        <v>9</v>
      </c>
      <c r="C1229" s="569">
        <f t="shared" si="63"/>
        <v>42620</v>
      </c>
      <c r="D1229" s="552" t="s">
        <v>1020</v>
      </c>
      <c r="E1229" s="591">
        <v>42620</v>
      </c>
      <c r="F1229" s="592" t="s">
        <v>664</v>
      </c>
      <c r="G1229" s="593" t="s">
        <v>748</v>
      </c>
      <c r="H1229" s="555" t="s">
        <v>1073</v>
      </c>
      <c r="I1229" s="131">
        <v>20</v>
      </c>
      <c r="J1229" s="131">
        <v>69739.559402972402</v>
      </c>
      <c r="K1229" s="21">
        <f t="shared" si="62"/>
        <v>1394791</v>
      </c>
      <c r="L1229" s="550" t="s">
        <v>166</v>
      </c>
      <c r="M1229" s="550" t="s">
        <v>161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>x</v>
      </c>
      <c r="Z1229" s="563"/>
    </row>
    <row r="1230" spans="1:26" ht="15.75" customHeight="1">
      <c r="A1230" s="120" t="str">
        <f>IF(B1230&lt;&gt;"",IF(AND(B1230&gt;=_TM1,B1230&lt;=_TM2,OR(TH!L1230="1111",TH!M1230="1111")),TH!D1230,""),"")</f>
        <v/>
      </c>
      <c r="B1230" s="568">
        <f t="shared" si="60"/>
        <v>9</v>
      </c>
      <c r="C1230" s="569">
        <f t="shared" si="63"/>
        <v>42621</v>
      </c>
      <c r="D1230" s="552" t="s">
        <v>1020</v>
      </c>
      <c r="E1230" s="591">
        <v>42621</v>
      </c>
      <c r="F1230" s="592" t="s">
        <v>541</v>
      </c>
      <c r="G1230" s="593" t="s">
        <v>749</v>
      </c>
      <c r="H1230" s="555" t="s">
        <v>1073</v>
      </c>
      <c r="I1230" s="131">
        <v>1027</v>
      </c>
      <c r="J1230" s="131">
        <v>4616.3301732463997</v>
      </c>
      <c r="K1230" s="21">
        <f t="shared" si="62"/>
        <v>4740971</v>
      </c>
      <c r="L1230" s="550" t="s">
        <v>166</v>
      </c>
      <c r="M1230" s="550" t="s">
        <v>161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>x</v>
      </c>
      <c r="Z1230" s="563"/>
    </row>
    <row r="1231" spans="1:26" ht="15.75" customHeight="1">
      <c r="A1231" s="120" t="str">
        <f>IF(B1231&lt;&gt;"",IF(AND(B1231&gt;=_TM1,B1231&lt;=_TM2,OR(TH!L1231="1111",TH!M1231="1111")),TH!D1231,""),"")</f>
        <v/>
      </c>
      <c r="B1231" s="568">
        <f t="shared" si="60"/>
        <v>9</v>
      </c>
      <c r="C1231" s="569">
        <f t="shared" si="63"/>
        <v>42621</v>
      </c>
      <c r="D1231" s="552" t="s">
        <v>1020</v>
      </c>
      <c r="E1231" s="591">
        <v>42621</v>
      </c>
      <c r="F1231" s="592" t="s">
        <v>644</v>
      </c>
      <c r="G1231" s="593" t="s">
        <v>750</v>
      </c>
      <c r="H1231" s="555" t="s">
        <v>1073</v>
      </c>
      <c r="I1231" s="131">
        <v>300</v>
      </c>
      <c r="J1231" s="131">
        <v>10221.873955045599</v>
      </c>
      <c r="K1231" s="21">
        <f t="shared" si="62"/>
        <v>3066562</v>
      </c>
      <c r="L1231" s="550" t="s">
        <v>166</v>
      </c>
      <c r="M1231" s="550" t="s">
        <v>161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>x</v>
      </c>
      <c r="Z1231" s="563"/>
    </row>
    <row r="1232" spans="1:26" ht="15.75" customHeight="1">
      <c r="A1232" s="120" t="str">
        <f>IF(B1232&lt;&gt;"",IF(AND(B1232&gt;=_TM1,B1232&lt;=_TM2,OR(TH!L1232="1111",TH!M1232="1111")),TH!D1232,""),"")</f>
        <v/>
      </c>
      <c r="B1232" s="568">
        <f t="shared" si="60"/>
        <v>9</v>
      </c>
      <c r="C1232" s="569">
        <f t="shared" si="63"/>
        <v>42621</v>
      </c>
      <c r="D1232" s="552" t="s">
        <v>1020</v>
      </c>
      <c r="E1232" s="591">
        <v>42621</v>
      </c>
      <c r="F1232" s="592" t="s">
        <v>645</v>
      </c>
      <c r="G1232" s="593" t="s">
        <v>750</v>
      </c>
      <c r="H1232" s="555" t="s">
        <v>1073</v>
      </c>
      <c r="I1232" s="131">
        <v>300</v>
      </c>
      <c r="J1232" s="131">
        <v>12530.039041668799</v>
      </c>
      <c r="K1232" s="21">
        <f t="shared" si="62"/>
        <v>3759012</v>
      </c>
      <c r="L1232" s="550" t="s">
        <v>166</v>
      </c>
      <c r="M1232" s="550" t="s">
        <v>161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>x</v>
      </c>
      <c r="Z1232" s="563"/>
    </row>
    <row r="1233" spans="1:26" ht="15.75" customHeight="1">
      <c r="A1233" s="120" t="str">
        <f>IF(B1233&lt;&gt;"",IF(AND(B1233&gt;=_TM1,B1233&lt;=_TM2,OR(TH!L1233="1111",TH!M1233="1111")),TH!D1233,""),"")</f>
        <v/>
      </c>
      <c r="B1233" s="568">
        <f t="shared" si="60"/>
        <v>9</v>
      </c>
      <c r="C1233" s="569">
        <f t="shared" si="63"/>
        <v>42621</v>
      </c>
      <c r="D1233" s="552" t="s">
        <v>1020</v>
      </c>
      <c r="E1233" s="591">
        <v>42621</v>
      </c>
      <c r="F1233" s="592" t="s">
        <v>648</v>
      </c>
      <c r="G1233" s="593" t="s">
        <v>750</v>
      </c>
      <c r="H1233" s="555" t="s">
        <v>1073</v>
      </c>
      <c r="I1233" s="131">
        <v>300</v>
      </c>
      <c r="J1233" s="131">
        <v>8985.3569443546003</v>
      </c>
      <c r="K1233" s="21">
        <f t="shared" si="62"/>
        <v>2695607</v>
      </c>
      <c r="L1233" s="550" t="s">
        <v>166</v>
      </c>
      <c r="M1233" s="550" t="s">
        <v>161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>x</v>
      </c>
      <c r="Z1233" s="563"/>
    </row>
    <row r="1234" spans="1:26" ht="15.75" customHeight="1">
      <c r="A1234" s="120" t="str">
        <f>IF(B1234&lt;&gt;"",IF(AND(B1234&gt;=_TM1,B1234&lt;=_TM2,OR(TH!L1234="1111",TH!M1234="1111")),TH!D1234,""),"")</f>
        <v/>
      </c>
      <c r="B1234" s="568">
        <f t="shared" si="60"/>
        <v>9</v>
      </c>
      <c r="C1234" s="569">
        <f t="shared" si="63"/>
        <v>42621</v>
      </c>
      <c r="D1234" s="552" t="s">
        <v>1020</v>
      </c>
      <c r="E1234" s="591">
        <v>42621</v>
      </c>
      <c r="F1234" s="592" t="s">
        <v>646</v>
      </c>
      <c r="G1234" s="593" t="s">
        <v>750</v>
      </c>
      <c r="H1234" s="555" t="s">
        <v>1073</v>
      </c>
      <c r="I1234" s="131">
        <v>300</v>
      </c>
      <c r="J1234" s="131">
        <v>9974.5705529073985</v>
      </c>
      <c r="K1234" s="21">
        <f t="shared" si="62"/>
        <v>2992371</v>
      </c>
      <c r="L1234" s="550" t="s">
        <v>166</v>
      </c>
      <c r="M1234" s="550" t="s">
        <v>161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>x</v>
      </c>
      <c r="Z1234" s="563"/>
    </row>
    <row r="1235" spans="1:26" ht="15.75" customHeight="1">
      <c r="A1235" s="120" t="str">
        <f>IF(B1235&lt;&gt;"",IF(AND(B1235&gt;=_TM1,B1235&lt;=_TM2,OR(TH!L1235="1111",TH!M1235="1111")),TH!D1235,""),"")</f>
        <v/>
      </c>
      <c r="B1235" s="568">
        <f t="shared" si="60"/>
        <v>9</v>
      </c>
      <c r="C1235" s="569">
        <f t="shared" si="63"/>
        <v>42621</v>
      </c>
      <c r="D1235" s="552" t="s">
        <v>1020</v>
      </c>
      <c r="E1235" s="591">
        <v>42621</v>
      </c>
      <c r="F1235" s="592" t="s">
        <v>647</v>
      </c>
      <c r="G1235" s="593" t="s">
        <v>750</v>
      </c>
      <c r="H1235" s="555" t="s">
        <v>1073</v>
      </c>
      <c r="I1235" s="131">
        <v>300</v>
      </c>
      <c r="J1235" s="131">
        <v>10963.7841614602</v>
      </c>
      <c r="K1235" s="21">
        <f t="shared" si="62"/>
        <v>3289135</v>
      </c>
      <c r="L1235" s="550" t="s">
        <v>166</v>
      </c>
      <c r="M1235" s="550" t="s">
        <v>161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>x</v>
      </c>
      <c r="Z1235" s="563"/>
    </row>
    <row r="1236" spans="1:26" ht="15.75" customHeight="1">
      <c r="A1236" s="120" t="str">
        <f>IF(B1236&lt;&gt;"",IF(AND(B1236&gt;=_TM1,B1236&lt;=_TM2,OR(TH!L1236="1111",TH!M1236="1111")),TH!D1236,""),"")</f>
        <v/>
      </c>
      <c r="B1236" s="568">
        <f t="shared" si="60"/>
        <v>9</v>
      </c>
      <c r="C1236" s="569">
        <f t="shared" si="63"/>
        <v>42624</v>
      </c>
      <c r="D1236" s="552" t="s">
        <v>1020</v>
      </c>
      <c r="E1236" s="591">
        <v>42624</v>
      </c>
      <c r="F1236" s="592" t="s">
        <v>543</v>
      </c>
      <c r="G1236" s="593" t="s">
        <v>751</v>
      </c>
      <c r="H1236" s="555" t="s">
        <v>1073</v>
      </c>
      <c r="I1236" s="131">
        <v>10520</v>
      </c>
      <c r="J1236" s="131">
        <v>6759.6263251107994</v>
      </c>
      <c r="K1236" s="21">
        <f t="shared" si="62"/>
        <v>71111269</v>
      </c>
      <c r="L1236" s="550" t="s">
        <v>166</v>
      </c>
      <c r="M1236" s="550" t="s">
        <v>161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>x</v>
      </c>
      <c r="Z1236" s="563"/>
    </row>
    <row r="1237" spans="1:26" ht="15.75" customHeight="1">
      <c r="A1237" s="120" t="str">
        <f>IF(B1237&lt;&gt;"",IF(AND(B1237&gt;=_TM1,B1237&lt;=_TM2,OR(TH!L1237="1111",TH!M1237="1111")),TH!D1237,""),"")</f>
        <v/>
      </c>
      <c r="B1237" s="568">
        <f t="shared" si="60"/>
        <v>9</v>
      </c>
      <c r="C1237" s="569">
        <f t="shared" si="63"/>
        <v>42626</v>
      </c>
      <c r="D1237" s="552" t="s">
        <v>1020</v>
      </c>
      <c r="E1237" s="591">
        <v>42626</v>
      </c>
      <c r="F1237" s="592" t="s">
        <v>662</v>
      </c>
      <c r="G1237" s="593" t="s">
        <v>752</v>
      </c>
      <c r="H1237" s="555" t="s">
        <v>1073</v>
      </c>
      <c r="I1237" s="131">
        <v>210</v>
      </c>
      <c r="J1237" s="131">
        <v>7748.8399336635994</v>
      </c>
      <c r="K1237" s="21">
        <f t="shared" si="62"/>
        <v>1627256</v>
      </c>
      <c r="L1237" s="550" t="s">
        <v>166</v>
      </c>
      <c r="M1237" s="550" t="s">
        <v>161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>x</v>
      </c>
      <c r="Z1237" s="563"/>
    </row>
    <row r="1238" spans="1:26" ht="15.75" customHeight="1">
      <c r="A1238" s="120" t="str">
        <f>IF(B1238&lt;&gt;"",IF(AND(B1238&gt;=_TM1,B1238&lt;=_TM2,OR(TH!L1238="1111",TH!M1238="1111")),TH!D1238,""),"")</f>
        <v/>
      </c>
      <c r="B1238" s="568">
        <f t="shared" si="60"/>
        <v>9</v>
      </c>
      <c r="C1238" s="569">
        <f t="shared" si="63"/>
        <v>42626</v>
      </c>
      <c r="D1238" s="552" t="s">
        <v>1020</v>
      </c>
      <c r="E1238" s="591">
        <v>42626</v>
      </c>
      <c r="F1238" s="592" t="s">
        <v>663</v>
      </c>
      <c r="G1238" s="593" t="s">
        <v>752</v>
      </c>
      <c r="H1238" s="555" t="s">
        <v>1073</v>
      </c>
      <c r="I1238" s="131">
        <v>200</v>
      </c>
      <c r="J1238" s="131">
        <v>7089.3641946283997</v>
      </c>
      <c r="K1238" s="21">
        <f t="shared" si="62"/>
        <v>1417873</v>
      </c>
      <c r="L1238" s="550" t="s">
        <v>166</v>
      </c>
      <c r="M1238" s="550" t="s">
        <v>161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>x</v>
      </c>
      <c r="Z1238" s="563"/>
    </row>
    <row r="1239" spans="1:26" ht="15.75" customHeight="1">
      <c r="A1239" s="120" t="str">
        <f>IF(B1239&lt;&gt;"",IF(AND(B1239&gt;=_TM1,B1239&lt;=_TM2,OR(TH!L1239="1111",TH!M1239="1111")),TH!D1239,""),"")</f>
        <v/>
      </c>
      <c r="B1239" s="568">
        <f t="shared" si="60"/>
        <v>9</v>
      </c>
      <c r="C1239" s="569">
        <f t="shared" si="63"/>
        <v>42626</v>
      </c>
      <c r="D1239" s="552" t="s">
        <v>1020</v>
      </c>
      <c r="E1239" s="591">
        <v>42626</v>
      </c>
      <c r="F1239" s="592" t="s">
        <v>661</v>
      </c>
      <c r="G1239" s="593" t="s">
        <v>752</v>
      </c>
      <c r="H1239" s="555" t="s">
        <v>1073</v>
      </c>
      <c r="I1239" s="131">
        <v>171</v>
      </c>
      <c r="J1239" s="131">
        <v>8985.3569443546003</v>
      </c>
      <c r="K1239" s="21">
        <f t="shared" si="62"/>
        <v>1536496</v>
      </c>
      <c r="L1239" s="550" t="s">
        <v>166</v>
      </c>
      <c r="M1239" s="550" t="s">
        <v>161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>x</v>
      </c>
      <c r="Z1239" s="563"/>
    </row>
    <row r="1240" spans="1:26" ht="15.75" customHeight="1">
      <c r="A1240" s="120" t="str">
        <f>IF(B1240&lt;&gt;"",IF(AND(B1240&gt;=_TM1,B1240&lt;=_TM2,OR(TH!L1240="1111",TH!M1240="1111")),TH!D1240,""),"")</f>
        <v/>
      </c>
      <c r="B1240" s="568">
        <f t="shared" si="60"/>
        <v>9</v>
      </c>
      <c r="C1240" s="569">
        <f t="shared" si="63"/>
        <v>42627</v>
      </c>
      <c r="D1240" s="552" t="s">
        <v>1020</v>
      </c>
      <c r="E1240" s="591">
        <v>42627</v>
      </c>
      <c r="F1240" s="592" t="s">
        <v>815</v>
      </c>
      <c r="G1240" s="593" t="s">
        <v>753</v>
      </c>
      <c r="H1240" s="555" t="s">
        <v>1073</v>
      </c>
      <c r="I1240" s="131">
        <v>2400</v>
      </c>
      <c r="J1240" s="131">
        <v>3214.9442277966</v>
      </c>
      <c r="K1240" s="21">
        <f t="shared" si="62"/>
        <v>7715866</v>
      </c>
      <c r="L1240" s="550" t="s">
        <v>166</v>
      </c>
      <c r="M1240" s="550" t="s">
        <v>161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>x</v>
      </c>
      <c r="Z1240" s="563"/>
    </row>
    <row r="1241" spans="1:26" ht="15.75" customHeight="1">
      <c r="A1241" s="120" t="str">
        <f>IF(B1241&lt;&gt;"",IF(AND(B1241&gt;=_TM1,B1241&lt;=_TM2,OR(TH!L1241="1111",TH!M1241="1111")),TH!D1241,""),"")</f>
        <v/>
      </c>
      <c r="B1241" s="568">
        <f t="shared" si="60"/>
        <v>9</v>
      </c>
      <c r="C1241" s="569">
        <f t="shared" si="63"/>
        <v>42627</v>
      </c>
      <c r="D1241" s="552" t="s">
        <v>1020</v>
      </c>
      <c r="E1241" s="591">
        <v>42627</v>
      </c>
      <c r="F1241" s="592" t="s">
        <v>816</v>
      </c>
      <c r="G1241" s="593" t="s">
        <v>753</v>
      </c>
      <c r="H1241" s="555" t="s">
        <v>1073</v>
      </c>
      <c r="I1241" s="131">
        <v>500</v>
      </c>
      <c r="J1241" s="131">
        <v>6594.7573903519997</v>
      </c>
      <c r="K1241" s="21">
        <f t="shared" si="62"/>
        <v>3297379</v>
      </c>
      <c r="L1241" s="550" t="s">
        <v>166</v>
      </c>
      <c r="M1241" s="550" t="s">
        <v>161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>x</v>
      </c>
      <c r="Z1241" s="563"/>
    </row>
    <row r="1242" spans="1:26" ht="15.75" customHeight="1">
      <c r="A1242" s="120" t="str">
        <f>IF(B1242&lt;&gt;"",IF(AND(B1242&gt;=_TM1,B1242&lt;=_TM2,OR(TH!L1242="1111",TH!M1242="1111")),TH!D1242,""),"")</f>
        <v/>
      </c>
      <c r="B1242" s="568">
        <f t="shared" si="60"/>
        <v>9</v>
      </c>
      <c r="C1242" s="569">
        <f t="shared" si="63"/>
        <v>42628</v>
      </c>
      <c r="D1242" s="552" t="s">
        <v>1020</v>
      </c>
      <c r="E1242" s="591">
        <v>42628</v>
      </c>
      <c r="F1242" s="592" t="s">
        <v>518</v>
      </c>
      <c r="G1242" s="593" t="s">
        <v>754</v>
      </c>
      <c r="H1242" s="555" t="s">
        <v>1073</v>
      </c>
      <c r="I1242" s="131">
        <v>1820</v>
      </c>
      <c r="J1242" s="131">
        <v>6759.6263251107994</v>
      </c>
      <c r="K1242" s="21">
        <f t="shared" si="62"/>
        <v>12302520</v>
      </c>
      <c r="L1242" s="550" t="s">
        <v>166</v>
      </c>
      <c r="M1242" s="550" t="s">
        <v>161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>x</v>
      </c>
      <c r="Z1242" s="563"/>
    </row>
    <row r="1243" spans="1:26" ht="15.75" customHeight="1">
      <c r="A1243" s="120" t="str">
        <f>IF(B1243&lt;&gt;"",IF(AND(B1243&gt;=_TM1,B1243&lt;=_TM2,OR(TH!L1243="1111",TH!M1243="1111")),TH!D1243,""),"")</f>
        <v/>
      </c>
      <c r="B1243" s="568">
        <f t="shared" si="60"/>
        <v>9</v>
      </c>
      <c r="C1243" s="569">
        <f t="shared" si="63"/>
        <v>42628</v>
      </c>
      <c r="D1243" s="552" t="s">
        <v>1020</v>
      </c>
      <c r="E1243" s="591">
        <v>42628</v>
      </c>
      <c r="F1243" s="592" t="s">
        <v>544</v>
      </c>
      <c r="G1243" s="593" t="s">
        <v>754</v>
      </c>
      <c r="H1243" s="555" t="s">
        <v>1073</v>
      </c>
      <c r="I1243" s="131">
        <v>620</v>
      </c>
      <c r="J1243" s="131">
        <v>7501.5365315253994</v>
      </c>
      <c r="K1243" s="21">
        <f t="shared" si="62"/>
        <v>4650953</v>
      </c>
      <c r="L1243" s="550" t="s">
        <v>166</v>
      </c>
      <c r="M1243" s="550" t="s">
        <v>161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>x</v>
      </c>
      <c r="Z1243" s="563"/>
    </row>
    <row r="1244" spans="1:26" ht="15.75" customHeight="1">
      <c r="A1244" s="120" t="str">
        <f>IF(B1244&lt;&gt;"",IF(AND(B1244&gt;=_TM1,B1244&lt;=_TM2,OR(TH!L1244="1111",TH!M1244="1111")),TH!D1244,""),"")</f>
        <v/>
      </c>
      <c r="B1244" s="568">
        <f t="shared" si="60"/>
        <v>9</v>
      </c>
      <c r="C1244" s="569">
        <f t="shared" si="63"/>
        <v>42628</v>
      </c>
      <c r="D1244" s="552" t="s">
        <v>1020</v>
      </c>
      <c r="E1244" s="591">
        <v>42628</v>
      </c>
      <c r="F1244" s="592" t="s">
        <v>545</v>
      </c>
      <c r="G1244" s="593" t="s">
        <v>754</v>
      </c>
      <c r="H1244" s="555" t="s">
        <v>1073</v>
      </c>
      <c r="I1244" s="131">
        <v>304</v>
      </c>
      <c r="J1244" s="131">
        <v>6677.1918577314</v>
      </c>
      <c r="K1244" s="21">
        <f t="shared" si="62"/>
        <v>2029866</v>
      </c>
      <c r="L1244" s="550" t="s">
        <v>166</v>
      </c>
      <c r="M1244" s="550" t="s">
        <v>161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>x</v>
      </c>
      <c r="Z1244" s="563"/>
    </row>
    <row r="1245" spans="1:26" ht="15.75" customHeight="1">
      <c r="A1245" s="120" t="str">
        <f>IF(B1245&lt;&gt;"",IF(AND(B1245&gt;=_TM1,B1245&lt;=_TM2,OR(TH!L1245="1111",TH!M1245="1111")),TH!D1245,""),"")</f>
        <v/>
      </c>
      <c r="B1245" s="568">
        <f t="shared" si="60"/>
        <v>9</v>
      </c>
      <c r="C1245" s="569">
        <f t="shared" si="63"/>
        <v>42628</v>
      </c>
      <c r="D1245" s="552" t="s">
        <v>1020</v>
      </c>
      <c r="E1245" s="591">
        <v>42628</v>
      </c>
      <c r="F1245" s="592" t="s">
        <v>546</v>
      </c>
      <c r="G1245" s="593" t="s">
        <v>754</v>
      </c>
      <c r="H1245" s="555" t="s">
        <v>1073</v>
      </c>
      <c r="I1245" s="131">
        <v>316</v>
      </c>
      <c r="J1245" s="131">
        <v>7419.102064146</v>
      </c>
      <c r="K1245" s="21">
        <f t="shared" si="62"/>
        <v>2344436</v>
      </c>
      <c r="L1245" s="550" t="s">
        <v>166</v>
      </c>
      <c r="M1245" s="550" t="s">
        <v>161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>x</v>
      </c>
      <c r="Z1245" s="563"/>
    </row>
    <row r="1246" spans="1:26" ht="15.75" customHeight="1">
      <c r="A1246" s="120" t="str">
        <f>IF(B1246&lt;&gt;"",IF(AND(B1246&gt;=_TM1,B1246&lt;=_TM2,OR(TH!L1246="1111",TH!M1246="1111")),TH!D1246,""),"")</f>
        <v/>
      </c>
      <c r="B1246" s="568">
        <f t="shared" si="60"/>
        <v>9</v>
      </c>
      <c r="C1246" s="569">
        <f t="shared" si="63"/>
        <v>42635</v>
      </c>
      <c r="D1246" s="552" t="s">
        <v>1020</v>
      </c>
      <c r="E1246" s="591">
        <v>42635</v>
      </c>
      <c r="F1246" s="592" t="s">
        <v>513</v>
      </c>
      <c r="G1246" s="593" t="s">
        <v>755</v>
      </c>
      <c r="H1246" s="555" t="s">
        <v>1073</v>
      </c>
      <c r="I1246" s="131">
        <v>300</v>
      </c>
      <c r="J1246" s="131">
        <v>7831.2744010429988</v>
      </c>
      <c r="K1246" s="21">
        <f t="shared" si="62"/>
        <v>2349382</v>
      </c>
      <c r="L1246" s="550" t="s">
        <v>166</v>
      </c>
      <c r="M1246" s="550" t="s">
        <v>161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>x</v>
      </c>
      <c r="Z1246" s="563"/>
    </row>
    <row r="1247" spans="1:26" ht="15.75" customHeight="1">
      <c r="A1247" s="120" t="str">
        <f>IF(B1247&lt;&gt;"",IF(AND(B1247&gt;=_TM1,B1247&lt;=_TM2,OR(TH!L1247="1111",TH!M1247="1111")),TH!D1247,""),"")</f>
        <v/>
      </c>
      <c r="B1247" s="568">
        <f t="shared" si="60"/>
        <v>9</v>
      </c>
      <c r="C1247" s="569">
        <f t="shared" si="63"/>
        <v>42639</v>
      </c>
      <c r="D1247" s="552" t="s">
        <v>1020</v>
      </c>
      <c r="E1247" s="591">
        <v>42639</v>
      </c>
      <c r="F1247" s="592" t="s">
        <v>547</v>
      </c>
      <c r="G1247" s="593" t="s">
        <v>756</v>
      </c>
      <c r="H1247" s="555" t="s">
        <v>1073</v>
      </c>
      <c r="I1247" s="131">
        <v>109</v>
      </c>
      <c r="J1247" s="131">
        <v>4451.4612384876</v>
      </c>
      <c r="K1247" s="21">
        <f t="shared" si="62"/>
        <v>485209</v>
      </c>
      <c r="L1247" s="550" t="s">
        <v>166</v>
      </c>
      <c r="M1247" s="550" t="s">
        <v>161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>x</v>
      </c>
      <c r="Z1247" s="563"/>
    </row>
    <row r="1248" spans="1:26" ht="15.75" customHeight="1">
      <c r="A1248" s="120" t="str">
        <f>IF(B1248&lt;&gt;"",IF(AND(B1248&gt;=_TM1,B1248&lt;=_TM2,OR(TH!L1248="1111",TH!M1248="1111")),TH!D1248,""),"")</f>
        <v/>
      </c>
      <c r="B1248" s="568">
        <f t="shared" si="60"/>
        <v>9</v>
      </c>
      <c r="C1248" s="569">
        <f t="shared" si="63"/>
        <v>42639</v>
      </c>
      <c r="D1248" s="552" t="s">
        <v>1020</v>
      </c>
      <c r="E1248" s="591">
        <v>42639</v>
      </c>
      <c r="F1248" s="592" t="s">
        <v>548</v>
      </c>
      <c r="G1248" s="593" t="s">
        <v>756</v>
      </c>
      <c r="H1248" s="555" t="s">
        <v>1073</v>
      </c>
      <c r="I1248" s="131">
        <v>102</v>
      </c>
      <c r="J1248" s="131">
        <v>5110.9369775227997</v>
      </c>
      <c r="K1248" s="21">
        <f t="shared" si="62"/>
        <v>521316</v>
      </c>
      <c r="L1248" s="550" t="s">
        <v>166</v>
      </c>
      <c r="M1248" s="550" t="s">
        <v>161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>x</v>
      </c>
      <c r="Z1248" s="563"/>
    </row>
    <row r="1249" spans="1:26" ht="15.75" customHeight="1">
      <c r="A1249" s="120" t="str">
        <f>IF(B1249&lt;&gt;"",IF(AND(B1249&gt;=_TM1,B1249&lt;=_TM2,OR(TH!L1249="1111",TH!M1249="1111")),TH!D1249,""),"")</f>
        <v/>
      </c>
      <c r="B1249" s="568">
        <f t="shared" si="60"/>
        <v>9</v>
      </c>
      <c r="C1249" s="569">
        <f t="shared" si="63"/>
        <v>42639</v>
      </c>
      <c r="D1249" s="552" t="s">
        <v>1020</v>
      </c>
      <c r="E1249" s="591">
        <v>42639</v>
      </c>
      <c r="F1249" s="592" t="s">
        <v>661</v>
      </c>
      <c r="G1249" s="593" t="s">
        <v>756</v>
      </c>
      <c r="H1249" s="555" t="s">
        <v>1073</v>
      </c>
      <c r="I1249" s="131">
        <v>56</v>
      </c>
      <c r="J1249" s="131">
        <v>8985.3569443546003</v>
      </c>
      <c r="K1249" s="21">
        <f t="shared" si="62"/>
        <v>503180</v>
      </c>
      <c r="L1249" s="550" t="s">
        <v>166</v>
      </c>
      <c r="M1249" s="550" t="s">
        <v>161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>x</v>
      </c>
      <c r="Z1249" s="563"/>
    </row>
    <row r="1250" spans="1:26" ht="15.75" customHeight="1">
      <c r="A1250" s="120" t="str">
        <f>IF(B1250&lt;&gt;"",IF(AND(B1250&gt;=_TM1,B1250&lt;=_TM2,OR(TH!L1250="1111",TH!M1250="1111")),TH!D1250,""),"")</f>
        <v/>
      </c>
      <c r="B1250" s="568">
        <f t="shared" si="60"/>
        <v>9</v>
      </c>
      <c r="C1250" s="569">
        <f t="shared" si="63"/>
        <v>42640</v>
      </c>
      <c r="D1250" s="552" t="s">
        <v>1020</v>
      </c>
      <c r="E1250" s="591">
        <v>42640</v>
      </c>
      <c r="F1250" s="592" t="s">
        <v>498</v>
      </c>
      <c r="G1250" s="593" t="s">
        <v>757</v>
      </c>
      <c r="H1250" s="555" t="s">
        <v>1073</v>
      </c>
      <c r="I1250" s="131">
        <v>533</v>
      </c>
      <c r="J1250" s="131">
        <v>10551.611824563199</v>
      </c>
      <c r="K1250" s="21">
        <f t="shared" si="62"/>
        <v>5624009</v>
      </c>
      <c r="L1250" s="550" t="s">
        <v>166</v>
      </c>
      <c r="M1250" s="550" t="s">
        <v>161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>x</v>
      </c>
      <c r="Z1250" s="563"/>
    </row>
    <row r="1251" spans="1:26" ht="15.75" customHeight="1">
      <c r="A1251" s="120" t="str">
        <f>IF(B1251&lt;&gt;"",IF(AND(B1251&gt;=_TM1,B1251&lt;=_TM2,OR(TH!L1251="1111",TH!M1251="1111")),TH!D1251,""),"")</f>
        <v/>
      </c>
      <c r="B1251" s="568">
        <f t="shared" si="60"/>
        <v>9</v>
      </c>
      <c r="C1251" s="569">
        <f t="shared" si="63"/>
        <v>42640</v>
      </c>
      <c r="D1251" s="552" t="s">
        <v>1020</v>
      </c>
      <c r="E1251" s="591">
        <v>42640</v>
      </c>
      <c r="F1251" s="592" t="s">
        <v>498</v>
      </c>
      <c r="G1251" s="593" t="s">
        <v>758</v>
      </c>
      <c r="H1251" s="555" t="s">
        <v>1073</v>
      </c>
      <c r="I1251" s="131">
        <v>156</v>
      </c>
      <c r="J1251" s="131">
        <v>10551.611824563199</v>
      </c>
      <c r="K1251" s="21">
        <f t="shared" si="62"/>
        <v>1646051</v>
      </c>
      <c r="L1251" s="550" t="s">
        <v>166</v>
      </c>
      <c r="M1251" s="550" t="s">
        <v>161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>x</v>
      </c>
      <c r="Z1251" s="563"/>
    </row>
    <row r="1252" spans="1:26" ht="15.75" customHeight="1">
      <c r="A1252" s="120" t="str">
        <f>IF(B1252&lt;&gt;"",IF(AND(B1252&gt;=_TM1,B1252&lt;=_TM2,OR(TH!L1252="1111",TH!M1252="1111")),TH!D1252,""),"")</f>
        <v/>
      </c>
      <c r="B1252" s="568">
        <f t="shared" si="60"/>
        <v>9</v>
      </c>
      <c r="C1252" s="569">
        <f t="shared" si="63"/>
        <v>42640</v>
      </c>
      <c r="D1252" s="552" t="s">
        <v>1020</v>
      </c>
      <c r="E1252" s="591">
        <v>42640</v>
      </c>
      <c r="F1252" s="592" t="s">
        <v>652</v>
      </c>
      <c r="G1252" s="593" t="s">
        <v>758</v>
      </c>
      <c r="H1252" s="555" t="s">
        <v>1073</v>
      </c>
      <c r="I1252" s="131">
        <v>2520</v>
      </c>
      <c r="J1252" s="131">
        <v>8820.4880095957997</v>
      </c>
      <c r="K1252" s="21">
        <f t="shared" si="62"/>
        <v>22227630</v>
      </c>
      <c r="L1252" s="550" t="s">
        <v>166</v>
      </c>
      <c r="M1252" s="550" t="s">
        <v>161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>x</v>
      </c>
      <c r="Z1252" s="563"/>
    </row>
    <row r="1253" spans="1:26" ht="15.75" customHeight="1">
      <c r="A1253" s="120" t="str">
        <f>IF(B1253&lt;&gt;"",IF(AND(B1253&gt;=_TM1,B1253&lt;=_TM2,OR(TH!L1253="1111",TH!M1253="1111")),TH!D1253,""),"")</f>
        <v/>
      </c>
      <c r="B1253" s="568">
        <f t="shared" si="60"/>
        <v>9</v>
      </c>
      <c r="C1253" s="569">
        <f t="shared" si="63"/>
        <v>42640</v>
      </c>
      <c r="D1253" s="552" t="s">
        <v>1020</v>
      </c>
      <c r="E1253" s="591">
        <v>42640</v>
      </c>
      <c r="F1253" s="592" t="s">
        <v>653</v>
      </c>
      <c r="G1253" s="593" t="s">
        <v>758</v>
      </c>
      <c r="H1253" s="555" t="s">
        <v>1073</v>
      </c>
      <c r="I1253" s="131">
        <v>44</v>
      </c>
      <c r="J1253" s="131">
        <v>12777.342443807</v>
      </c>
      <c r="K1253" s="21">
        <f t="shared" si="62"/>
        <v>562203</v>
      </c>
      <c r="L1253" s="550" t="s">
        <v>166</v>
      </c>
      <c r="M1253" s="550" t="s">
        <v>161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>x</v>
      </c>
      <c r="Z1253" s="563"/>
    </row>
    <row r="1254" spans="1:26" ht="15.75" customHeight="1">
      <c r="A1254" s="120" t="str">
        <f>IF(B1254&lt;&gt;"",IF(AND(B1254&gt;=_TM1,B1254&lt;=_TM2,OR(TH!L1254="1111",TH!M1254="1111")),TH!D1254,""),"")</f>
        <v/>
      </c>
      <c r="B1254" s="568">
        <f t="shared" si="60"/>
        <v>9</v>
      </c>
      <c r="C1254" s="569">
        <f t="shared" si="63"/>
        <v>42641</v>
      </c>
      <c r="D1254" s="552" t="s">
        <v>1020</v>
      </c>
      <c r="E1254" s="591">
        <v>42641</v>
      </c>
      <c r="F1254" s="592" t="s">
        <v>509</v>
      </c>
      <c r="G1254" s="593" t="s">
        <v>429</v>
      </c>
      <c r="H1254" s="555" t="s">
        <v>1073</v>
      </c>
      <c r="I1254" s="131">
        <v>211</v>
      </c>
      <c r="J1254" s="131">
        <v>11046.218628839601</v>
      </c>
      <c r="K1254" s="21">
        <f t="shared" si="62"/>
        <v>2330752</v>
      </c>
      <c r="L1254" s="550" t="s">
        <v>166</v>
      </c>
      <c r="M1254" s="550" t="s">
        <v>161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>x</v>
      </c>
      <c r="Z1254" s="563"/>
    </row>
    <row r="1255" spans="1:26" ht="15.75" customHeight="1">
      <c r="A1255" s="120" t="str">
        <f>IF(B1255&lt;&gt;"",IF(AND(B1255&gt;=_TM1,B1255&lt;=_TM2,OR(TH!L1255="1111",TH!M1255="1111")),TH!D1255,""),"")</f>
        <v/>
      </c>
      <c r="B1255" s="542">
        <f t="shared" si="60"/>
        <v>10</v>
      </c>
      <c r="C1255" s="543">
        <f t="shared" si="63"/>
        <v>42647</v>
      </c>
      <c r="D1255" s="544" t="s">
        <v>1020</v>
      </c>
      <c r="E1255" s="595">
        <v>42647</v>
      </c>
      <c r="F1255" s="599" t="s">
        <v>800</v>
      </c>
      <c r="G1255" s="597" t="s">
        <v>799</v>
      </c>
      <c r="H1255" s="598" t="s">
        <v>1073</v>
      </c>
      <c r="I1255" s="548">
        <v>423</v>
      </c>
      <c r="J1255" s="548">
        <v>5706.4898215078556</v>
      </c>
      <c r="K1255" s="551">
        <f t="shared" si="62"/>
        <v>2413845</v>
      </c>
      <c r="L1255" s="556" t="s">
        <v>166</v>
      </c>
      <c r="M1255" s="556" t="s">
        <v>161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/>
      </c>
      <c r="Z1255" s="565"/>
    </row>
    <row r="1256" spans="1:26" ht="15.75" customHeight="1">
      <c r="A1256" s="120" t="str">
        <f>IF(B1256&lt;&gt;"",IF(AND(B1256&gt;=_TM1,B1256&lt;=_TM2,OR(TH!L1256="1111",TH!M1256="1111")),TH!D1256,""),"")</f>
        <v/>
      </c>
      <c r="B1256" s="568">
        <f t="shared" si="60"/>
        <v>10</v>
      </c>
      <c r="C1256" s="569">
        <f t="shared" si="63"/>
        <v>42647</v>
      </c>
      <c r="D1256" s="552" t="s">
        <v>1020</v>
      </c>
      <c r="E1256" s="589">
        <v>42647</v>
      </c>
      <c r="F1256" s="592" t="s">
        <v>802</v>
      </c>
      <c r="G1256" s="590" t="s">
        <v>801</v>
      </c>
      <c r="H1256" s="555" t="s">
        <v>1073</v>
      </c>
      <c r="I1256" s="131">
        <v>943</v>
      </c>
      <c r="J1256" s="131">
        <v>5402.1436976941031</v>
      </c>
      <c r="K1256" s="21">
        <f t="shared" si="62"/>
        <v>5094222</v>
      </c>
      <c r="L1256" s="550" t="s">
        <v>166</v>
      </c>
      <c r="M1256" s="550" t="s">
        <v>161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/>
      </c>
      <c r="Z1256" s="563"/>
    </row>
    <row r="1257" spans="1:26" ht="15.75" customHeight="1">
      <c r="A1257" s="120" t="str">
        <f>IF(B1257&lt;&gt;"",IF(AND(B1257&gt;=_TM1,B1257&lt;=_TM2,OR(TH!L1257="1111",TH!M1257="1111")),TH!D1257,""),"")</f>
        <v/>
      </c>
      <c r="B1257" s="568">
        <f t="shared" si="60"/>
        <v>10</v>
      </c>
      <c r="C1257" s="569">
        <f t="shared" si="63"/>
        <v>42647</v>
      </c>
      <c r="D1257" s="552" t="s">
        <v>1020</v>
      </c>
      <c r="E1257" s="589">
        <v>42647</v>
      </c>
      <c r="F1257" s="592" t="s">
        <v>803</v>
      </c>
      <c r="G1257" s="590" t="s">
        <v>801</v>
      </c>
      <c r="H1257" s="555" t="s">
        <v>1073</v>
      </c>
      <c r="I1257" s="131">
        <v>270</v>
      </c>
      <c r="J1257" s="131">
        <v>6543.4416619956746</v>
      </c>
      <c r="K1257" s="21">
        <f t="shared" si="62"/>
        <v>1766729</v>
      </c>
      <c r="L1257" s="550" t="s">
        <v>166</v>
      </c>
      <c r="M1257" s="550" t="s">
        <v>161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/>
      </c>
      <c r="Z1257" s="563"/>
    </row>
    <row r="1258" spans="1:26" ht="15.75" customHeight="1">
      <c r="A1258" s="120" t="str">
        <f>IF(B1258&lt;&gt;"",IF(AND(B1258&gt;=_TM1,B1258&lt;=_TM2,OR(TH!L1258="1111",TH!M1258="1111")),TH!D1258,""),"")</f>
        <v/>
      </c>
      <c r="B1258" s="568">
        <f t="shared" si="60"/>
        <v>10</v>
      </c>
      <c r="C1258" s="569">
        <f t="shared" si="63"/>
        <v>42648</v>
      </c>
      <c r="D1258" s="552" t="s">
        <v>1020</v>
      </c>
      <c r="E1258" s="589">
        <v>42648</v>
      </c>
      <c r="F1258" s="592" t="s">
        <v>805</v>
      </c>
      <c r="G1258" s="590" t="s">
        <v>804</v>
      </c>
      <c r="H1258" s="555" t="s">
        <v>1073</v>
      </c>
      <c r="I1258" s="131">
        <v>305</v>
      </c>
      <c r="J1258" s="131">
        <v>7076.0473786697412</v>
      </c>
      <c r="K1258" s="21">
        <f t="shared" si="62"/>
        <v>2158194</v>
      </c>
      <c r="L1258" s="550" t="s">
        <v>166</v>
      </c>
      <c r="M1258" s="550" t="s">
        <v>161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/>
      </c>
      <c r="Z1258" s="563"/>
    </row>
    <row r="1259" spans="1:26" ht="15.75" customHeight="1">
      <c r="A1259" s="120" t="str">
        <f>IF(B1259&lt;&gt;"",IF(AND(B1259&gt;=_TM1,B1259&lt;=_TM2,OR(TH!L1259="1111",TH!M1259="1111")),TH!D1259,""),"")</f>
        <v/>
      </c>
      <c r="B1259" s="568">
        <f t="shared" si="60"/>
        <v>10</v>
      </c>
      <c r="C1259" s="569">
        <f t="shared" si="63"/>
        <v>42648</v>
      </c>
      <c r="D1259" s="552" t="s">
        <v>1020</v>
      </c>
      <c r="E1259" s="589">
        <v>42648</v>
      </c>
      <c r="F1259" s="592" t="s">
        <v>806</v>
      </c>
      <c r="G1259" s="590" t="s">
        <v>804</v>
      </c>
      <c r="H1259" s="555" t="s">
        <v>1073</v>
      </c>
      <c r="I1259" s="131">
        <v>55</v>
      </c>
      <c r="J1259" s="131">
        <v>6847.7877858094271</v>
      </c>
      <c r="K1259" s="21">
        <f t="shared" si="62"/>
        <v>376628</v>
      </c>
      <c r="L1259" s="550" t="s">
        <v>166</v>
      </c>
      <c r="M1259" s="550" t="s">
        <v>161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/>
      </c>
      <c r="Z1259" s="563"/>
    </row>
    <row r="1260" spans="1:26" ht="15.75" customHeight="1">
      <c r="A1260" s="120" t="str">
        <f>IF(B1260&lt;&gt;"",IF(AND(B1260&gt;=_TM1,B1260&lt;=_TM2,OR(TH!L1260="1111",TH!M1260="1111")),TH!D1260,""),"")</f>
        <v/>
      </c>
      <c r="B1260" s="568">
        <f t="shared" si="60"/>
        <v>10</v>
      </c>
      <c r="C1260" s="569">
        <f t="shared" si="63"/>
        <v>42648</v>
      </c>
      <c r="D1260" s="552" t="s">
        <v>1020</v>
      </c>
      <c r="E1260" s="589">
        <v>42648</v>
      </c>
      <c r="F1260" s="592" t="s">
        <v>807</v>
      </c>
      <c r="G1260" s="590" t="s">
        <v>804</v>
      </c>
      <c r="H1260" s="555" t="s">
        <v>1073</v>
      </c>
      <c r="I1260" s="594">
        <v>205</v>
      </c>
      <c r="J1260" s="131">
        <v>2358.6824595565804</v>
      </c>
      <c r="K1260" s="21">
        <f t="shared" si="62"/>
        <v>483530</v>
      </c>
      <c r="L1260" s="550" t="s">
        <v>166</v>
      </c>
      <c r="M1260" s="550" t="s">
        <v>161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/>
      </c>
      <c r="Z1260" s="563"/>
    </row>
    <row r="1261" spans="1:26" ht="15.75" customHeight="1">
      <c r="A1261" s="120" t="str">
        <f>IF(B1261&lt;&gt;"",IF(AND(B1261&gt;=_TM1,B1261&lt;=_TM2,OR(TH!L1261="1111",TH!M1261="1111")),TH!D1261,""),"")</f>
        <v/>
      </c>
      <c r="B1261" s="568">
        <f t="shared" si="60"/>
        <v>10</v>
      </c>
      <c r="C1261" s="569">
        <f t="shared" si="63"/>
        <v>42648</v>
      </c>
      <c r="D1261" s="552" t="s">
        <v>1020</v>
      </c>
      <c r="E1261" s="589">
        <v>42648</v>
      </c>
      <c r="F1261" s="592" t="s">
        <v>518</v>
      </c>
      <c r="G1261" s="590" t="s">
        <v>808</v>
      </c>
      <c r="H1261" s="555" t="s">
        <v>1073</v>
      </c>
      <c r="I1261" s="573">
        <v>320</v>
      </c>
      <c r="J1261" s="573">
        <v>6239.0955381819222</v>
      </c>
      <c r="K1261" s="21">
        <f t="shared" ref="K1261:K1324" si="64">ROUND(I1261*J1261,0)</f>
        <v>1996511</v>
      </c>
      <c r="L1261" s="550" t="s">
        <v>166</v>
      </c>
      <c r="M1261" s="550" t="s">
        <v>161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/>
      </c>
      <c r="Z1261" s="563"/>
    </row>
    <row r="1262" spans="1:26" ht="15.75" customHeight="1">
      <c r="A1262" s="120" t="str">
        <f>IF(B1262&lt;&gt;"",IF(AND(B1262&gt;=_TM1,B1262&lt;=_TM2,OR(TH!L1262="1111",TH!M1262="1111")),TH!D1262,""),"")</f>
        <v/>
      </c>
      <c r="B1262" s="568">
        <f t="shared" si="60"/>
        <v>10</v>
      </c>
      <c r="C1262" s="569">
        <f t="shared" si="63"/>
        <v>42648</v>
      </c>
      <c r="D1262" s="552" t="s">
        <v>1020</v>
      </c>
      <c r="E1262" s="589">
        <v>42648</v>
      </c>
      <c r="F1262" s="592" t="s">
        <v>520</v>
      </c>
      <c r="G1262" s="590" t="s">
        <v>808</v>
      </c>
      <c r="H1262" s="555" t="s">
        <v>1073</v>
      </c>
      <c r="I1262" s="573">
        <v>659</v>
      </c>
      <c r="J1262" s="573">
        <v>12021.671890643216</v>
      </c>
      <c r="K1262" s="21">
        <f t="shared" si="64"/>
        <v>7922282</v>
      </c>
      <c r="L1262" s="550" t="s">
        <v>166</v>
      </c>
      <c r="M1262" s="550" t="s">
        <v>161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/>
      </c>
      <c r="Z1262" s="563"/>
    </row>
    <row r="1263" spans="1:26" ht="15.75" customHeight="1">
      <c r="A1263" s="120" t="str">
        <f>IF(B1263&lt;&gt;"",IF(AND(B1263&gt;=_TM1,B1263&lt;=_TM2,OR(TH!L1263="1111",TH!M1263="1111")),TH!D1263,""),"")</f>
        <v/>
      </c>
      <c r="B1263" s="568">
        <f t="shared" si="60"/>
        <v>10</v>
      </c>
      <c r="C1263" s="569">
        <f t="shared" si="63"/>
        <v>42649</v>
      </c>
      <c r="D1263" s="552" t="s">
        <v>1020</v>
      </c>
      <c r="E1263" s="589">
        <v>42649</v>
      </c>
      <c r="F1263" s="592" t="s">
        <v>524</v>
      </c>
      <c r="G1263" s="590" t="s">
        <v>434</v>
      </c>
      <c r="H1263" s="555" t="s">
        <v>1073</v>
      </c>
      <c r="I1263" s="131">
        <v>400</v>
      </c>
      <c r="J1263" s="131">
        <v>14304.267819246357</v>
      </c>
      <c r="K1263" s="21">
        <f t="shared" si="64"/>
        <v>5721707</v>
      </c>
      <c r="L1263" s="550" t="s">
        <v>166</v>
      </c>
      <c r="M1263" s="550" t="s">
        <v>161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/>
      </c>
      <c r="Z1263" s="563"/>
    </row>
    <row r="1264" spans="1:26" ht="15.75" customHeight="1">
      <c r="A1264" s="120" t="str">
        <f>IF(B1264&lt;&gt;"",IF(AND(B1264&gt;=_TM1,B1264&lt;=_TM2,OR(TH!L1264="1111",TH!M1264="1111")),TH!D1264,""),"")</f>
        <v/>
      </c>
      <c r="B1264" s="568">
        <f t="shared" si="60"/>
        <v>10</v>
      </c>
      <c r="C1264" s="569">
        <f t="shared" si="63"/>
        <v>42660</v>
      </c>
      <c r="D1264" s="552" t="s">
        <v>1020</v>
      </c>
      <c r="E1264" s="589">
        <v>42660</v>
      </c>
      <c r="F1264" s="592" t="s">
        <v>672</v>
      </c>
      <c r="G1264" s="590" t="s">
        <v>759</v>
      </c>
      <c r="H1264" s="555" t="s">
        <v>1073</v>
      </c>
      <c r="I1264" s="131">
        <v>1800</v>
      </c>
      <c r="J1264" s="131">
        <v>9206.4702453660066</v>
      </c>
      <c r="K1264" s="21">
        <f t="shared" si="64"/>
        <v>16571646</v>
      </c>
      <c r="L1264" s="550" t="s">
        <v>166</v>
      </c>
      <c r="M1264" s="550" t="s">
        <v>161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/>
      </c>
      <c r="Z1264" s="563"/>
    </row>
    <row r="1265" spans="1:26" ht="15.75" customHeight="1">
      <c r="A1265" s="120" t="str">
        <f>IF(B1265&lt;&gt;"",IF(AND(B1265&gt;=_TM1,B1265&lt;=_TM2,OR(TH!L1265="1111",TH!M1265="1111")),TH!D1265,""),"")</f>
        <v/>
      </c>
      <c r="B1265" s="568">
        <f t="shared" si="60"/>
        <v>10</v>
      </c>
      <c r="C1265" s="569">
        <f t="shared" ref="C1265:C1328" si="65">E1265</f>
        <v>42660</v>
      </c>
      <c r="D1265" s="552" t="s">
        <v>1020</v>
      </c>
      <c r="E1265" s="589">
        <v>42660</v>
      </c>
      <c r="F1265" s="592" t="s">
        <v>671</v>
      </c>
      <c r="G1265" s="590" t="s">
        <v>759</v>
      </c>
      <c r="H1265" s="555" t="s">
        <v>1073</v>
      </c>
      <c r="I1265" s="131">
        <v>26</v>
      </c>
      <c r="J1265" s="131">
        <v>8217.3453429713136</v>
      </c>
      <c r="K1265" s="21">
        <f t="shared" si="64"/>
        <v>213651</v>
      </c>
      <c r="L1265" s="550" t="s">
        <v>166</v>
      </c>
      <c r="M1265" s="550" t="s">
        <v>161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/>
      </c>
      <c r="Z1265" s="563"/>
    </row>
    <row r="1266" spans="1:26" ht="15.75" customHeight="1">
      <c r="A1266" s="120" t="str">
        <f>IF(B1266&lt;&gt;"",IF(AND(B1266&gt;=_TM1,B1266&lt;=_TM2,OR(TH!L1266="1111",TH!M1266="1111")),TH!D1266,""),"")</f>
        <v/>
      </c>
      <c r="B1266" s="568">
        <f t="shared" si="60"/>
        <v>10</v>
      </c>
      <c r="C1266" s="569">
        <f t="shared" si="65"/>
        <v>42662</v>
      </c>
      <c r="D1266" s="552" t="s">
        <v>1020</v>
      </c>
      <c r="E1266" s="589">
        <v>42662</v>
      </c>
      <c r="F1266" s="592" t="s">
        <v>665</v>
      </c>
      <c r="G1266" s="590" t="s">
        <v>760</v>
      </c>
      <c r="H1266" s="555" t="s">
        <v>1073</v>
      </c>
      <c r="I1266" s="572">
        <v>520</v>
      </c>
      <c r="J1266" s="572">
        <v>5858.6628834147323</v>
      </c>
      <c r="K1266" s="21">
        <f t="shared" si="64"/>
        <v>3046505</v>
      </c>
      <c r="L1266" s="550" t="s">
        <v>166</v>
      </c>
      <c r="M1266" s="550" t="s">
        <v>161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/>
      </c>
      <c r="Z1266" s="563"/>
    </row>
    <row r="1267" spans="1:26" ht="15.75" customHeight="1">
      <c r="A1267" s="120" t="str">
        <f>IF(B1267&lt;&gt;"",IF(AND(B1267&gt;=_TM1,B1267&lt;=_TM2,OR(TH!L1267="1111",TH!M1267="1111")),TH!D1267,""),"")</f>
        <v/>
      </c>
      <c r="B1267" s="568">
        <f t="shared" si="60"/>
        <v>10</v>
      </c>
      <c r="C1267" s="569">
        <f t="shared" si="65"/>
        <v>42662</v>
      </c>
      <c r="D1267" s="552" t="s">
        <v>1020</v>
      </c>
      <c r="E1267" s="589">
        <v>42662</v>
      </c>
      <c r="F1267" s="592" t="s">
        <v>524</v>
      </c>
      <c r="G1267" s="590" t="s">
        <v>760</v>
      </c>
      <c r="H1267" s="555" t="s">
        <v>1073</v>
      </c>
      <c r="I1267" s="131">
        <v>100</v>
      </c>
      <c r="J1267" s="131">
        <v>14304.267819246357</v>
      </c>
      <c r="K1267" s="21">
        <f t="shared" si="64"/>
        <v>1430427</v>
      </c>
      <c r="L1267" s="550" t="s">
        <v>166</v>
      </c>
      <c r="M1267" s="550" t="s">
        <v>161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/>
      </c>
      <c r="Z1267" s="563"/>
    </row>
    <row r="1268" spans="1:26" ht="15.75" customHeight="1">
      <c r="A1268" s="120" t="str">
        <f>IF(B1268&lt;&gt;"",IF(AND(B1268&gt;=_TM1,B1268&lt;=_TM2,OR(TH!L1268="1111",TH!M1268="1111")),TH!D1268,""),"")</f>
        <v/>
      </c>
      <c r="B1268" s="568">
        <f t="shared" si="60"/>
        <v>10</v>
      </c>
      <c r="C1268" s="569">
        <f t="shared" si="65"/>
        <v>42672</v>
      </c>
      <c r="D1268" s="552" t="s">
        <v>1020</v>
      </c>
      <c r="E1268" s="589">
        <v>42672</v>
      </c>
      <c r="F1268" s="592" t="s">
        <v>666</v>
      </c>
      <c r="G1268" s="590" t="s">
        <v>761</v>
      </c>
      <c r="H1268" s="555" t="s">
        <v>1073</v>
      </c>
      <c r="I1268" s="131">
        <v>36</v>
      </c>
      <c r="J1268" s="131">
        <v>10347.76820966758</v>
      </c>
      <c r="K1268" s="21">
        <f t="shared" si="64"/>
        <v>372520</v>
      </c>
      <c r="L1268" s="550" t="s">
        <v>166</v>
      </c>
      <c r="M1268" s="550" t="s">
        <v>161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/>
      </c>
      <c r="Z1268" s="563"/>
    </row>
    <row r="1269" spans="1:26" ht="15.75" customHeight="1">
      <c r="A1269" s="120" t="str">
        <f>IF(B1269&lt;&gt;"",IF(AND(B1269&gt;=_TM1,B1269&lt;=_TM2,OR(TH!L1269="1111",TH!M1269="1111")),TH!D1269,""),"")</f>
        <v/>
      </c>
      <c r="B1269" s="568">
        <f t="shared" si="60"/>
        <v>10</v>
      </c>
      <c r="C1269" s="569">
        <f t="shared" si="65"/>
        <v>42672</v>
      </c>
      <c r="D1269" s="552" t="s">
        <v>1020</v>
      </c>
      <c r="E1269" s="589">
        <v>42672</v>
      </c>
      <c r="F1269" s="592" t="s">
        <v>653</v>
      </c>
      <c r="G1269" s="590" t="s">
        <v>761</v>
      </c>
      <c r="H1269" s="555" t="s">
        <v>1073</v>
      </c>
      <c r="I1269" s="131">
        <v>110</v>
      </c>
      <c r="J1269" s="131">
        <v>11793.412297782903</v>
      </c>
      <c r="K1269" s="21">
        <f t="shared" si="64"/>
        <v>1297275</v>
      </c>
      <c r="L1269" s="550" t="s">
        <v>166</v>
      </c>
      <c r="M1269" s="550" t="s">
        <v>161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/>
      </c>
      <c r="Z1269" s="563"/>
    </row>
    <row r="1270" spans="1:26" ht="15.75" customHeight="1">
      <c r="A1270" s="120" t="str">
        <f>IF(B1270&lt;&gt;"",IF(AND(B1270&gt;=_TM1,B1270&lt;=_TM2,OR(TH!L1270="1111",TH!M1270="1111")),TH!D1270,""),"")</f>
        <v/>
      </c>
      <c r="B1270" s="568">
        <f t="shared" si="60"/>
        <v>10</v>
      </c>
      <c r="C1270" s="569">
        <f t="shared" si="65"/>
        <v>42672</v>
      </c>
      <c r="D1270" s="552" t="s">
        <v>1020</v>
      </c>
      <c r="E1270" s="589">
        <v>42672</v>
      </c>
      <c r="F1270" s="592" t="s">
        <v>667</v>
      </c>
      <c r="G1270" s="590" t="s">
        <v>761</v>
      </c>
      <c r="H1270" s="555" t="s">
        <v>1073</v>
      </c>
      <c r="I1270" s="131">
        <v>111</v>
      </c>
      <c r="J1270" s="131">
        <v>7912.9992191575602</v>
      </c>
      <c r="K1270" s="21">
        <f t="shared" si="64"/>
        <v>878343</v>
      </c>
      <c r="L1270" s="550" t="s">
        <v>166</v>
      </c>
      <c r="M1270" s="550" t="s">
        <v>161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/>
      </c>
      <c r="Z1270" s="563"/>
    </row>
    <row r="1271" spans="1:26" ht="15.75" customHeight="1">
      <c r="A1271" s="120" t="str">
        <f>IF(B1271&lt;&gt;"",IF(AND(B1271&gt;=_TM1,B1271&lt;=_TM2,OR(TH!L1271="1111",TH!M1271="1111")),TH!D1271,""),"")</f>
        <v/>
      </c>
      <c r="B1271" s="568">
        <f t="shared" si="60"/>
        <v>10</v>
      </c>
      <c r="C1271" s="569">
        <f t="shared" si="65"/>
        <v>42672</v>
      </c>
      <c r="D1271" s="552" t="s">
        <v>1020</v>
      </c>
      <c r="E1271" s="589">
        <v>42672</v>
      </c>
      <c r="F1271" s="592" t="s">
        <v>668</v>
      </c>
      <c r="G1271" s="590" t="s">
        <v>761</v>
      </c>
      <c r="H1271" s="555" t="s">
        <v>1073</v>
      </c>
      <c r="I1271" s="131">
        <v>18</v>
      </c>
      <c r="J1271" s="131">
        <v>12097.758421596654</v>
      </c>
      <c r="K1271" s="21">
        <f t="shared" si="64"/>
        <v>217760</v>
      </c>
      <c r="L1271" s="550" t="s">
        <v>166</v>
      </c>
      <c r="M1271" s="550" t="s">
        <v>161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/>
      </c>
      <c r="Z1271" s="563"/>
    </row>
    <row r="1272" spans="1:26" ht="15.75" customHeight="1">
      <c r="A1272" s="120" t="str">
        <f>IF(B1272&lt;&gt;"",IF(AND(B1272&gt;=_TM1,B1272&lt;=_TM2,OR(TH!L1272="1111",TH!M1272="1111")),TH!D1272,""),"")</f>
        <v/>
      </c>
      <c r="B1272" s="568">
        <f t="shared" si="60"/>
        <v>10</v>
      </c>
      <c r="C1272" s="569">
        <f t="shared" si="65"/>
        <v>42672</v>
      </c>
      <c r="D1272" s="552" t="s">
        <v>1020</v>
      </c>
      <c r="E1272" s="589">
        <v>42672</v>
      </c>
      <c r="F1272" s="592" t="s">
        <v>498</v>
      </c>
      <c r="G1272" s="590" t="s">
        <v>761</v>
      </c>
      <c r="H1272" s="555" t="s">
        <v>1073</v>
      </c>
      <c r="I1272" s="131">
        <v>52</v>
      </c>
      <c r="J1272" s="131">
        <v>9739.075962040075</v>
      </c>
      <c r="K1272" s="21">
        <f t="shared" si="64"/>
        <v>506432</v>
      </c>
      <c r="L1272" s="550" t="s">
        <v>166</v>
      </c>
      <c r="M1272" s="550" t="s">
        <v>161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/>
      </c>
      <c r="Z1272" s="563"/>
    </row>
    <row r="1273" spans="1:26" ht="15.75" customHeight="1">
      <c r="A1273" s="120" t="str">
        <f>IF(B1273&lt;&gt;"",IF(AND(B1273&gt;=_TM1,B1273&lt;=_TM2,OR(TH!L1273="1111",TH!M1273="1111")),TH!D1273,""),"")</f>
        <v/>
      </c>
      <c r="B1273" s="568">
        <f t="shared" si="60"/>
        <v>10</v>
      </c>
      <c r="C1273" s="569">
        <f t="shared" si="65"/>
        <v>42672</v>
      </c>
      <c r="D1273" s="552" t="s">
        <v>1020</v>
      </c>
      <c r="E1273" s="589">
        <v>42672</v>
      </c>
      <c r="F1273" s="592" t="s">
        <v>498</v>
      </c>
      <c r="G1273" s="590" t="s">
        <v>762</v>
      </c>
      <c r="H1273" s="555" t="s">
        <v>1073</v>
      </c>
      <c r="I1273" s="131">
        <v>206</v>
      </c>
      <c r="J1273" s="131">
        <v>9739.075962040075</v>
      </c>
      <c r="K1273" s="21">
        <f t="shared" si="64"/>
        <v>2006250</v>
      </c>
      <c r="L1273" s="550" t="s">
        <v>166</v>
      </c>
      <c r="M1273" s="550" t="s">
        <v>161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/>
      </c>
      <c r="Z1273" s="563"/>
    </row>
    <row r="1274" spans="1:26" ht="15.75" customHeight="1">
      <c r="A1274" s="120" t="str">
        <f>IF(B1274&lt;&gt;"",IF(AND(B1274&gt;=_TM1,B1274&lt;=_TM2,OR(TH!L1274="1111",TH!M1274="1111")),TH!D1274,""),"")</f>
        <v/>
      </c>
      <c r="B1274" s="568">
        <f t="shared" si="60"/>
        <v>10</v>
      </c>
      <c r="C1274" s="569">
        <f t="shared" si="65"/>
        <v>42672</v>
      </c>
      <c r="D1274" s="552" t="s">
        <v>1020</v>
      </c>
      <c r="E1274" s="589">
        <v>42672</v>
      </c>
      <c r="F1274" s="592" t="s">
        <v>669</v>
      </c>
      <c r="G1274" s="590" t="s">
        <v>762</v>
      </c>
      <c r="H1274" s="555" t="s">
        <v>1073</v>
      </c>
      <c r="I1274" s="131">
        <v>330</v>
      </c>
      <c r="J1274" s="131">
        <v>6923.8743167628654</v>
      </c>
      <c r="K1274" s="21">
        <f t="shared" si="64"/>
        <v>2284879</v>
      </c>
      <c r="L1274" s="550" t="s">
        <v>166</v>
      </c>
      <c r="M1274" s="550" t="s">
        <v>161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/>
      </c>
      <c r="Z1274" s="563"/>
    </row>
    <row r="1275" spans="1:26" ht="15.75" customHeight="1">
      <c r="A1275" s="120" t="str">
        <f>IF(B1275&lt;&gt;"",IF(AND(B1275&gt;=_TM1,B1275&lt;=_TM2,OR(TH!L1275="1111",TH!M1275="1111")),TH!D1275,""),"")</f>
        <v/>
      </c>
      <c r="B1275" s="568">
        <f t="shared" si="60"/>
        <v>10</v>
      </c>
      <c r="C1275" s="569">
        <f t="shared" si="65"/>
        <v>42672</v>
      </c>
      <c r="D1275" s="552" t="s">
        <v>1020</v>
      </c>
      <c r="E1275" s="589">
        <v>42672</v>
      </c>
      <c r="F1275" s="592" t="s">
        <v>670</v>
      </c>
      <c r="G1275" s="590" t="s">
        <v>762</v>
      </c>
      <c r="H1275" s="555" t="s">
        <v>1073</v>
      </c>
      <c r="I1275" s="131">
        <v>23</v>
      </c>
      <c r="J1275" s="131">
        <v>8597.7779977385017</v>
      </c>
      <c r="K1275" s="21">
        <f t="shared" si="64"/>
        <v>197749</v>
      </c>
      <c r="L1275" s="550" t="s">
        <v>166</v>
      </c>
      <c r="M1275" s="550" t="s">
        <v>161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/>
      </c>
      <c r="Z1275" s="563"/>
    </row>
    <row r="1276" spans="1:26" ht="15.75" customHeight="1">
      <c r="A1276" s="120" t="str">
        <f>IF(B1276&lt;&gt;"",IF(AND(B1276&gt;=_TM1,B1276&lt;=_TM2,OR(TH!L1276="1111",TH!M1276="1111")),TH!D1276,""),"")</f>
        <v/>
      </c>
      <c r="B1276" s="568">
        <f t="shared" si="60"/>
        <v>10</v>
      </c>
      <c r="C1276" s="569">
        <f t="shared" si="65"/>
        <v>42672</v>
      </c>
      <c r="D1276" s="552" t="s">
        <v>1020</v>
      </c>
      <c r="E1276" s="589">
        <v>42672</v>
      </c>
      <c r="F1276" s="592" t="s">
        <v>671</v>
      </c>
      <c r="G1276" s="590" t="s">
        <v>762</v>
      </c>
      <c r="H1276" s="555" t="s">
        <v>1073</v>
      </c>
      <c r="I1276" s="131">
        <v>55</v>
      </c>
      <c r="J1276" s="131">
        <v>8217.3453429713136</v>
      </c>
      <c r="K1276" s="21">
        <f t="shared" si="64"/>
        <v>451954</v>
      </c>
      <c r="L1276" s="550" t="s">
        <v>166</v>
      </c>
      <c r="M1276" s="550" t="s">
        <v>161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/>
      </c>
      <c r="Z1276" s="563"/>
    </row>
    <row r="1277" spans="1:26" ht="15.75" customHeight="1">
      <c r="A1277" s="120" t="str">
        <f>IF(B1277&lt;&gt;"",IF(AND(B1277&gt;=_TM1,B1277&lt;=_TM2,OR(TH!L1277="1111",TH!M1277="1111")),TH!D1277,""),"")</f>
        <v/>
      </c>
      <c r="B1277" s="568">
        <f t="shared" si="60"/>
        <v>10</v>
      </c>
      <c r="C1277" s="569">
        <f t="shared" si="65"/>
        <v>42672</v>
      </c>
      <c r="D1277" s="552" t="s">
        <v>1020</v>
      </c>
      <c r="E1277" s="589">
        <v>42672</v>
      </c>
      <c r="F1277" s="592" t="s">
        <v>672</v>
      </c>
      <c r="G1277" s="590" t="s">
        <v>763</v>
      </c>
      <c r="H1277" s="555" t="s">
        <v>1073</v>
      </c>
      <c r="I1277" s="131">
        <v>210</v>
      </c>
      <c r="J1277" s="131">
        <v>9206.4702453660066</v>
      </c>
      <c r="K1277" s="21">
        <f t="shared" si="64"/>
        <v>1933359</v>
      </c>
      <c r="L1277" s="550" t="s">
        <v>166</v>
      </c>
      <c r="M1277" s="550" t="s">
        <v>161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/>
      </c>
      <c r="Z1277" s="563"/>
    </row>
    <row r="1278" spans="1:26" ht="15.75" customHeight="1">
      <c r="A1278" s="120" t="str">
        <f>IF(B1278&lt;&gt;"",IF(AND(B1278&gt;=_TM1,B1278&lt;=_TM2,OR(TH!L1278="1111",TH!M1278="1111")),TH!D1278,""),"")</f>
        <v/>
      </c>
      <c r="B1278" s="568">
        <f t="shared" si="60"/>
        <v>10</v>
      </c>
      <c r="C1278" s="569">
        <f t="shared" si="65"/>
        <v>42672</v>
      </c>
      <c r="D1278" s="552" t="s">
        <v>1020</v>
      </c>
      <c r="E1278" s="589">
        <v>42672</v>
      </c>
      <c r="F1278" s="592" t="s">
        <v>673</v>
      </c>
      <c r="G1278" s="590" t="s">
        <v>763</v>
      </c>
      <c r="H1278" s="555" t="s">
        <v>1073</v>
      </c>
      <c r="I1278" s="131">
        <v>160</v>
      </c>
      <c r="J1278" s="131">
        <v>13315.142916851664</v>
      </c>
      <c r="K1278" s="21">
        <f t="shared" si="64"/>
        <v>2130423</v>
      </c>
      <c r="L1278" s="550" t="s">
        <v>166</v>
      </c>
      <c r="M1278" s="550" t="s">
        <v>161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/>
      </c>
      <c r="Z1278" s="563"/>
    </row>
    <row r="1279" spans="1:26" ht="15.75" customHeight="1">
      <c r="A1279" s="120" t="str">
        <f>IF(B1279&lt;&gt;"",IF(AND(B1279&gt;=_TM1,B1279&lt;=_TM2,OR(TH!L1279="1111",TH!M1279="1111")),TH!D1279,""),"")</f>
        <v/>
      </c>
      <c r="B1279" s="568">
        <f t="shared" si="60"/>
        <v>10</v>
      </c>
      <c r="C1279" s="569">
        <f t="shared" si="65"/>
        <v>42672</v>
      </c>
      <c r="D1279" s="552" t="s">
        <v>1020</v>
      </c>
      <c r="E1279" s="589">
        <v>42672</v>
      </c>
      <c r="F1279" s="592" t="s">
        <v>498</v>
      </c>
      <c r="G1279" s="590" t="s">
        <v>763</v>
      </c>
      <c r="H1279" s="555" t="s">
        <v>1073</v>
      </c>
      <c r="I1279" s="131">
        <v>160</v>
      </c>
      <c r="J1279" s="131">
        <v>9739.075962040075</v>
      </c>
      <c r="K1279" s="21">
        <f t="shared" si="64"/>
        <v>1558252</v>
      </c>
      <c r="L1279" s="550" t="s">
        <v>166</v>
      </c>
      <c r="M1279" s="550" t="s">
        <v>161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/>
      </c>
      <c r="Z1279" s="563"/>
    </row>
    <row r="1280" spans="1:26" ht="15.75" customHeight="1">
      <c r="A1280" s="120" t="str">
        <f>IF(B1280&lt;&gt;"",IF(AND(B1280&gt;=_TM1,B1280&lt;=_TM2,OR(TH!L1280="1111",TH!M1280="1111")),TH!D1280,""),"")</f>
        <v/>
      </c>
      <c r="B1280" s="568">
        <f t="shared" si="60"/>
        <v>10</v>
      </c>
      <c r="C1280" s="569">
        <f t="shared" si="65"/>
        <v>42672</v>
      </c>
      <c r="D1280" s="552" t="s">
        <v>1020</v>
      </c>
      <c r="E1280" s="589">
        <v>42672</v>
      </c>
      <c r="F1280" s="592" t="s">
        <v>674</v>
      </c>
      <c r="G1280" s="590" t="s">
        <v>763</v>
      </c>
      <c r="H1280" s="555" t="s">
        <v>1073</v>
      </c>
      <c r="I1280" s="131">
        <v>160</v>
      </c>
      <c r="J1280" s="131">
        <v>8217.3453429713136</v>
      </c>
      <c r="K1280" s="21">
        <f t="shared" si="64"/>
        <v>1314775</v>
      </c>
      <c r="L1280" s="550" t="s">
        <v>166</v>
      </c>
      <c r="M1280" s="550" t="s">
        <v>161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/>
      </c>
      <c r="Z1280" s="563"/>
    </row>
    <row r="1281" spans="1:26" ht="15.75" customHeight="1">
      <c r="A1281" s="120" t="str">
        <f>IF(B1281&lt;&gt;"",IF(AND(B1281&gt;=_TM1,B1281&lt;=_TM2,OR(TH!L1281="1111",TH!M1281="1111")),TH!D1281,""),"")</f>
        <v/>
      </c>
      <c r="B1281" s="568">
        <f t="shared" si="60"/>
        <v>10</v>
      </c>
      <c r="C1281" s="569">
        <f t="shared" si="65"/>
        <v>42672</v>
      </c>
      <c r="D1281" s="552" t="s">
        <v>1020</v>
      </c>
      <c r="E1281" s="589">
        <v>42672</v>
      </c>
      <c r="F1281" s="592" t="s">
        <v>675</v>
      </c>
      <c r="G1281" s="590" t="s">
        <v>763</v>
      </c>
      <c r="H1281" s="555" t="s">
        <v>1073</v>
      </c>
      <c r="I1281" s="131">
        <v>103</v>
      </c>
      <c r="J1281" s="131">
        <v>9510.8163691797599</v>
      </c>
      <c r="K1281" s="21">
        <f t="shared" si="64"/>
        <v>979614</v>
      </c>
      <c r="L1281" s="550" t="s">
        <v>166</v>
      </c>
      <c r="M1281" s="550" t="s">
        <v>161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/>
      </c>
      <c r="Z1281" s="563"/>
    </row>
    <row r="1282" spans="1:26" ht="15.75" customHeight="1">
      <c r="A1282" s="120" t="str">
        <f>IF(B1282&lt;&gt;"",IF(AND(B1282&gt;=_TM1,B1282&lt;=_TM2,OR(TH!L1282="1111",TH!M1282="1111")),TH!D1282,""),"")</f>
        <v/>
      </c>
      <c r="B1282" s="568">
        <f t="shared" si="60"/>
        <v>10</v>
      </c>
      <c r="C1282" s="569">
        <f t="shared" si="65"/>
        <v>42672</v>
      </c>
      <c r="D1282" s="552" t="s">
        <v>1020</v>
      </c>
      <c r="E1282" s="589">
        <v>42672</v>
      </c>
      <c r="F1282" s="592" t="s">
        <v>676</v>
      </c>
      <c r="G1282" s="590" t="s">
        <v>763</v>
      </c>
      <c r="H1282" s="555" t="s">
        <v>1073</v>
      </c>
      <c r="I1282" s="131">
        <v>7</v>
      </c>
      <c r="J1282" s="131">
        <v>10423.854740621018</v>
      </c>
      <c r="K1282" s="21">
        <f t="shared" si="64"/>
        <v>72967</v>
      </c>
      <c r="L1282" s="550" t="s">
        <v>166</v>
      </c>
      <c r="M1282" s="550" t="s">
        <v>161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/>
      </c>
      <c r="Z1282" s="563"/>
    </row>
    <row r="1283" spans="1:26" ht="15.75" customHeight="1">
      <c r="A1283" s="120" t="str">
        <f>IF(B1283&lt;&gt;"",IF(AND(B1283&gt;=_TM1,B1283&lt;=_TM2,OR(TH!L1283="1111",TH!M1283="1111")),TH!D1283,""),"")</f>
        <v/>
      </c>
      <c r="B1283" s="568">
        <f t="shared" si="60"/>
        <v>10</v>
      </c>
      <c r="C1283" s="569">
        <f t="shared" si="65"/>
        <v>42672</v>
      </c>
      <c r="D1283" s="552" t="s">
        <v>1020</v>
      </c>
      <c r="E1283" s="589">
        <v>42672</v>
      </c>
      <c r="F1283" s="592" t="s">
        <v>677</v>
      </c>
      <c r="G1283" s="590" t="s">
        <v>763</v>
      </c>
      <c r="H1283" s="555" t="s">
        <v>1073</v>
      </c>
      <c r="I1283" s="131">
        <v>105</v>
      </c>
      <c r="J1283" s="131">
        <v>7989.0857501109986</v>
      </c>
      <c r="K1283" s="21">
        <f t="shared" si="64"/>
        <v>838854</v>
      </c>
      <c r="L1283" s="550" t="s">
        <v>166</v>
      </c>
      <c r="M1283" s="550" t="s">
        <v>161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/>
      </c>
      <c r="Z1283" s="563"/>
    </row>
    <row r="1284" spans="1:26" ht="15.75" customHeight="1">
      <c r="A1284" s="120" t="str">
        <f>IF(B1284&lt;&gt;"",IF(AND(B1284&gt;=_TM1,B1284&lt;=_TM2,OR(TH!L1284="1111",TH!M1284="1111")),TH!D1284,""),"")</f>
        <v/>
      </c>
      <c r="B1284" s="568">
        <f t="shared" si="60"/>
        <v>10</v>
      </c>
      <c r="C1284" s="569">
        <f t="shared" si="65"/>
        <v>42672</v>
      </c>
      <c r="D1284" s="552" t="s">
        <v>1020</v>
      </c>
      <c r="E1284" s="589">
        <v>42672</v>
      </c>
      <c r="F1284" s="592" t="s">
        <v>678</v>
      </c>
      <c r="G1284" s="590" t="s">
        <v>763</v>
      </c>
      <c r="H1284" s="555" t="s">
        <v>1073</v>
      </c>
      <c r="I1284" s="131">
        <v>110</v>
      </c>
      <c r="J1284" s="131">
        <v>8597.7779977385017</v>
      </c>
      <c r="K1284" s="21">
        <f t="shared" si="64"/>
        <v>945756</v>
      </c>
      <c r="L1284" s="550" t="s">
        <v>166</v>
      </c>
      <c r="M1284" s="550" t="s">
        <v>161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/>
      </c>
      <c r="Z1284" s="563"/>
    </row>
    <row r="1285" spans="1:26" ht="15.75" customHeight="1">
      <c r="A1285" s="120" t="str">
        <f>IF(B1285&lt;&gt;"",IF(AND(B1285&gt;=_TM1,B1285&lt;=_TM2,OR(TH!L1285="1111",TH!M1285="1111")),TH!D1285,""),"")</f>
        <v/>
      </c>
      <c r="B1285" s="568">
        <f t="shared" si="60"/>
        <v>11</v>
      </c>
      <c r="C1285" s="569">
        <f t="shared" si="65"/>
        <v>42682</v>
      </c>
      <c r="D1285" s="552" t="s">
        <v>1020</v>
      </c>
      <c r="E1285" s="589">
        <v>42682</v>
      </c>
      <c r="F1285" s="592" t="s">
        <v>500</v>
      </c>
      <c r="G1285" s="590" t="s">
        <v>764</v>
      </c>
      <c r="H1285" s="555" t="s">
        <v>1073</v>
      </c>
      <c r="I1285" s="572">
        <v>300</v>
      </c>
      <c r="J1285" s="572">
        <v>8673.86452869194</v>
      </c>
      <c r="K1285" s="21">
        <f t="shared" si="64"/>
        <v>2602159</v>
      </c>
      <c r="L1285" s="550" t="s">
        <v>166</v>
      </c>
      <c r="M1285" s="550" t="s">
        <v>161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/>
      </c>
      <c r="Z1285" s="563"/>
    </row>
    <row r="1286" spans="1:26" ht="15.75" customHeight="1">
      <c r="A1286" s="120" t="str">
        <f>IF(B1286&lt;&gt;"",IF(AND(B1286&gt;=_TM1,B1286&lt;=_TM2,OR(TH!L1286="1111",TH!M1286="1111")),TH!D1286,""),"")</f>
        <v/>
      </c>
      <c r="B1286" s="568">
        <f t="shared" si="60"/>
        <v>11</v>
      </c>
      <c r="C1286" s="569">
        <f t="shared" si="65"/>
        <v>42682</v>
      </c>
      <c r="D1286" s="552" t="s">
        <v>1020</v>
      </c>
      <c r="E1286" s="589">
        <v>42682</v>
      </c>
      <c r="F1286" s="592" t="s">
        <v>500</v>
      </c>
      <c r="G1286" s="590" t="s">
        <v>764</v>
      </c>
      <c r="H1286" s="555" t="s">
        <v>1073</v>
      </c>
      <c r="I1286" s="131">
        <v>2000</v>
      </c>
      <c r="J1286" s="131">
        <v>8673.86452869194</v>
      </c>
      <c r="K1286" s="21">
        <f t="shared" si="64"/>
        <v>17347729</v>
      </c>
      <c r="L1286" s="550" t="s">
        <v>166</v>
      </c>
      <c r="M1286" s="550" t="s">
        <v>161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/>
      </c>
      <c r="Z1286" s="563"/>
    </row>
    <row r="1287" spans="1:26" ht="15.75" customHeight="1">
      <c r="A1287" s="120" t="str">
        <f>IF(B1287&lt;&gt;"",IF(AND(B1287&gt;=_TM1,B1287&lt;=_TM2,OR(TH!L1287="1111",TH!M1287="1111")),TH!D1287,""),"")</f>
        <v/>
      </c>
      <c r="B1287" s="568">
        <f t="shared" si="60"/>
        <v>11</v>
      </c>
      <c r="C1287" s="569">
        <f t="shared" si="65"/>
        <v>42682</v>
      </c>
      <c r="D1287" s="552" t="s">
        <v>1020</v>
      </c>
      <c r="E1287" s="589">
        <v>42682</v>
      </c>
      <c r="F1287" s="592" t="s">
        <v>679</v>
      </c>
      <c r="G1287" s="590" t="s">
        <v>764</v>
      </c>
      <c r="H1287" s="555" t="s">
        <v>1073</v>
      </c>
      <c r="I1287" s="131">
        <v>4600</v>
      </c>
      <c r="J1287" s="131">
        <v>684.77877858094269</v>
      </c>
      <c r="K1287" s="21">
        <f t="shared" si="64"/>
        <v>3149982</v>
      </c>
      <c r="L1287" s="550" t="s">
        <v>166</v>
      </c>
      <c r="M1287" s="550" t="s">
        <v>161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/>
      </c>
      <c r="Z1287" s="563"/>
    </row>
    <row r="1288" spans="1:26" ht="15.75" customHeight="1">
      <c r="A1288" s="120" t="str">
        <f>IF(B1288&lt;&gt;"",IF(AND(B1288&gt;=_TM1,B1288&lt;=_TM2,OR(TH!L1288="1111",TH!M1288="1111")),TH!D1288,""),"")</f>
        <v/>
      </c>
      <c r="B1288" s="568">
        <f t="shared" si="60"/>
        <v>11</v>
      </c>
      <c r="C1288" s="569">
        <f t="shared" si="65"/>
        <v>42682</v>
      </c>
      <c r="D1288" s="552" t="s">
        <v>1020</v>
      </c>
      <c r="E1288" s="589">
        <v>42682</v>
      </c>
      <c r="F1288" s="592" t="s">
        <v>680</v>
      </c>
      <c r="G1288" s="590" t="s">
        <v>765</v>
      </c>
      <c r="H1288" s="555" t="s">
        <v>1073</v>
      </c>
      <c r="I1288" s="131">
        <v>6030</v>
      </c>
      <c r="J1288" s="131">
        <v>10119.508616807265</v>
      </c>
      <c r="K1288" s="21">
        <f t="shared" si="64"/>
        <v>61020637</v>
      </c>
      <c r="L1288" s="550" t="s">
        <v>166</v>
      </c>
      <c r="M1288" s="550" t="s">
        <v>161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/>
      </c>
      <c r="Z1288" s="563"/>
    </row>
    <row r="1289" spans="1:26" ht="15.75" customHeight="1">
      <c r="A1289" s="120" t="str">
        <f>IF(B1289&lt;&gt;"",IF(AND(B1289&gt;=_TM1,B1289&lt;=_TM2,OR(TH!L1289="1111",TH!M1289="1111")),TH!D1289,""),"")</f>
        <v/>
      </c>
      <c r="B1289" s="568">
        <f t="shared" si="60"/>
        <v>11</v>
      </c>
      <c r="C1289" s="569">
        <f t="shared" si="65"/>
        <v>42683</v>
      </c>
      <c r="D1289" s="552" t="s">
        <v>1020</v>
      </c>
      <c r="E1289" s="589">
        <v>42683</v>
      </c>
      <c r="F1289" s="592" t="s">
        <v>690</v>
      </c>
      <c r="G1289" s="590" t="s">
        <v>766</v>
      </c>
      <c r="H1289" s="555" t="s">
        <v>1073</v>
      </c>
      <c r="I1289" s="131">
        <v>318</v>
      </c>
      <c r="J1289" s="131">
        <v>6391.2686000887979</v>
      </c>
      <c r="K1289" s="21">
        <f t="shared" si="64"/>
        <v>2032423</v>
      </c>
      <c r="L1289" s="550" t="s">
        <v>166</v>
      </c>
      <c r="M1289" s="550" t="s">
        <v>161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/>
      </c>
      <c r="Z1289" s="563"/>
    </row>
    <row r="1290" spans="1:26" ht="15.75" customHeight="1">
      <c r="A1290" s="120" t="str">
        <f>IF(B1290&lt;&gt;"",IF(AND(B1290&gt;=_TM1,B1290&lt;=_TM2,OR(TH!L1290="1111",TH!M1290="1111")),TH!D1290,""),"")</f>
        <v/>
      </c>
      <c r="B1290" s="568">
        <f t="shared" si="60"/>
        <v>11</v>
      </c>
      <c r="C1290" s="569">
        <f t="shared" si="65"/>
        <v>42683</v>
      </c>
      <c r="D1290" s="552" t="s">
        <v>1020</v>
      </c>
      <c r="E1290" s="589">
        <v>42683</v>
      </c>
      <c r="F1290" s="592" t="s">
        <v>538</v>
      </c>
      <c r="G1290" s="590" t="s">
        <v>766</v>
      </c>
      <c r="H1290" s="555" t="s">
        <v>1073</v>
      </c>
      <c r="I1290" s="572">
        <v>520</v>
      </c>
      <c r="J1290" s="131">
        <v>7380.3935024834936</v>
      </c>
      <c r="K1290" s="21">
        <f t="shared" si="64"/>
        <v>3837805</v>
      </c>
      <c r="L1290" s="550" t="s">
        <v>166</v>
      </c>
      <c r="M1290" s="550" t="s">
        <v>161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/>
      </c>
      <c r="Z1290" s="563"/>
    </row>
    <row r="1291" spans="1:26" ht="15.75" customHeight="1">
      <c r="A1291" s="120" t="str">
        <f>IF(B1291&lt;&gt;"",IF(AND(B1291&gt;=_TM1,B1291&lt;=_TM2,OR(TH!L1291="1111",TH!M1291="1111")),TH!D1291,""),"")</f>
        <v/>
      </c>
      <c r="B1291" s="568">
        <f t="shared" si="60"/>
        <v>11</v>
      </c>
      <c r="C1291" s="569">
        <f t="shared" si="65"/>
        <v>42683</v>
      </c>
      <c r="D1291" s="552" t="s">
        <v>1020</v>
      </c>
      <c r="E1291" s="589">
        <v>42683</v>
      </c>
      <c r="F1291" s="592" t="s">
        <v>811</v>
      </c>
      <c r="G1291" s="590" t="s">
        <v>809</v>
      </c>
      <c r="H1291" s="555" t="s">
        <v>1073</v>
      </c>
      <c r="I1291" s="131">
        <v>4000</v>
      </c>
      <c r="J1291" s="131">
        <v>6391.2686000887979</v>
      </c>
      <c r="K1291" s="21">
        <f t="shared" si="64"/>
        <v>25565074</v>
      </c>
      <c r="L1291" s="550" t="s">
        <v>166</v>
      </c>
      <c r="M1291" s="550" t="s">
        <v>161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/>
      </c>
      <c r="Z1291" s="563"/>
    </row>
    <row r="1292" spans="1:26" ht="15.75" customHeight="1">
      <c r="A1292" s="120" t="str">
        <f>IF(B1292&lt;&gt;"",IF(AND(B1292&gt;=_TM1,B1292&lt;=_TM2,OR(TH!L1292="1111",TH!M1292="1111")),TH!D1292,""),"")</f>
        <v/>
      </c>
      <c r="B1292" s="568">
        <f t="shared" si="60"/>
        <v>11</v>
      </c>
      <c r="C1292" s="569">
        <f t="shared" si="65"/>
        <v>42684</v>
      </c>
      <c r="D1292" s="552" t="s">
        <v>1020</v>
      </c>
      <c r="E1292" s="589">
        <v>42684</v>
      </c>
      <c r="F1292" s="592" t="s">
        <v>811</v>
      </c>
      <c r="G1292" s="590" t="s">
        <v>810</v>
      </c>
      <c r="H1292" s="555" t="s">
        <v>1073</v>
      </c>
      <c r="I1292" s="131">
        <v>4000</v>
      </c>
      <c r="J1292" s="131">
        <v>6391.2686000887979</v>
      </c>
      <c r="K1292" s="21">
        <f t="shared" si="64"/>
        <v>25565074</v>
      </c>
      <c r="L1292" s="550" t="s">
        <v>166</v>
      </c>
      <c r="M1292" s="550" t="s">
        <v>161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/>
      </c>
      <c r="Z1292" s="563"/>
    </row>
    <row r="1293" spans="1:26" ht="15.75" customHeight="1">
      <c r="A1293" s="120" t="str">
        <f>IF(B1293&lt;&gt;"",IF(AND(B1293&gt;=_TM1,B1293&lt;=_TM2,OR(TH!L1293="1111",TH!M1293="1111")),TH!D1293,""),"")</f>
        <v/>
      </c>
      <c r="B1293" s="568">
        <f t="shared" si="60"/>
        <v>11</v>
      </c>
      <c r="C1293" s="569">
        <f t="shared" si="65"/>
        <v>42693</v>
      </c>
      <c r="D1293" s="552" t="s">
        <v>1020</v>
      </c>
      <c r="E1293" s="589">
        <v>42693</v>
      </c>
      <c r="F1293" s="592" t="s">
        <v>683</v>
      </c>
      <c r="G1293" s="590" t="s">
        <v>767</v>
      </c>
      <c r="H1293" s="555" t="s">
        <v>1073</v>
      </c>
      <c r="I1293" s="131">
        <v>23</v>
      </c>
      <c r="J1293" s="131">
        <v>14989.046597827301</v>
      </c>
      <c r="K1293" s="21">
        <f t="shared" si="64"/>
        <v>344748</v>
      </c>
      <c r="L1293" s="550" t="s">
        <v>166</v>
      </c>
      <c r="M1293" s="550" t="s">
        <v>161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/>
      </c>
      <c r="Z1293" s="563"/>
    </row>
    <row r="1294" spans="1:26" ht="15.75" customHeight="1">
      <c r="A1294" s="120" t="str">
        <f>IF(B1294&lt;&gt;"",IF(AND(B1294&gt;=_TM1,B1294&lt;=_TM2,OR(TH!L1294="1111",TH!M1294="1111")),TH!D1294,""),"")</f>
        <v/>
      </c>
      <c r="B1294" s="568">
        <f t="shared" si="60"/>
        <v>11</v>
      </c>
      <c r="C1294" s="569">
        <f t="shared" si="65"/>
        <v>42693</v>
      </c>
      <c r="D1294" s="552" t="s">
        <v>1020</v>
      </c>
      <c r="E1294" s="589">
        <v>42693</v>
      </c>
      <c r="F1294" s="592" t="s">
        <v>496</v>
      </c>
      <c r="G1294" s="590" t="s">
        <v>767</v>
      </c>
      <c r="H1294" s="555" t="s">
        <v>1073</v>
      </c>
      <c r="I1294" s="131">
        <v>63</v>
      </c>
      <c r="J1294" s="131">
        <v>57521.417400799182</v>
      </c>
      <c r="K1294" s="21">
        <f t="shared" si="64"/>
        <v>3623849</v>
      </c>
      <c r="L1294" s="550" t="s">
        <v>166</v>
      </c>
      <c r="M1294" s="550" t="s">
        <v>161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/>
      </c>
      <c r="Z1294" s="563"/>
    </row>
    <row r="1295" spans="1:26" ht="15.75" customHeight="1">
      <c r="A1295" s="120" t="str">
        <f>IF(B1295&lt;&gt;"",IF(AND(B1295&gt;=_TM1,B1295&lt;=_TM2,OR(TH!L1295="1111",TH!M1295="1111")),TH!D1295,""),"")</f>
        <v/>
      </c>
      <c r="B1295" s="568">
        <f t="shared" si="60"/>
        <v>11</v>
      </c>
      <c r="C1295" s="569">
        <f t="shared" si="65"/>
        <v>42693</v>
      </c>
      <c r="D1295" s="552" t="s">
        <v>1020</v>
      </c>
      <c r="E1295" s="589">
        <v>42693</v>
      </c>
      <c r="F1295" s="592" t="s">
        <v>684</v>
      </c>
      <c r="G1295" s="590" t="s">
        <v>767</v>
      </c>
      <c r="H1295" s="555" t="s">
        <v>1073</v>
      </c>
      <c r="I1295" s="131">
        <v>27</v>
      </c>
      <c r="J1295" s="131">
        <v>27695.497267051462</v>
      </c>
      <c r="K1295" s="21">
        <f t="shared" si="64"/>
        <v>747778</v>
      </c>
      <c r="L1295" s="550" t="s">
        <v>166</v>
      </c>
      <c r="M1295" s="550" t="s">
        <v>161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/>
      </c>
      <c r="Z1295" s="563"/>
    </row>
    <row r="1296" spans="1:26" ht="15.75" customHeight="1">
      <c r="A1296" s="120" t="str">
        <f>IF(B1296&lt;&gt;"",IF(AND(B1296&gt;=_TM1,B1296&lt;=_TM2,OR(TH!L1296="1111",TH!M1296="1111")),TH!D1296,""),"")</f>
        <v/>
      </c>
      <c r="B1296" s="568">
        <f t="shared" si="60"/>
        <v>11</v>
      </c>
      <c r="C1296" s="569">
        <f t="shared" si="65"/>
        <v>42693</v>
      </c>
      <c r="D1296" s="552" t="s">
        <v>1020</v>
      </c>
      <c r="E1296" s="589">
        <v>42693</v>
      </c>
      <c r="F1296" s="592" t="s">
        <v>685</v>
      </c>
      <c r="G1296" s="590" t="s">
        <v>767</v>
      </c>
      <c r="H1296" s="555" t="s">
        <v>1073</v>
      </c>
      <c r="I1296" s="131">
        <v>27</v>
      </c>
      <c r="J1296" s="131">
        <v>25184.641745588004</v>
      </c>
      <c r="K1296" s="21">
        <f t="shared" si="64"/>
        <v>679985</v>
      </c>
      <c r="L1296" s="550" t="s">
        <v>166</v>
      </c>
      <c r="M1296" s="550" t="s">
        <v>161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/>
      </c>
      <c r="Z1296" s="563"/>
    </row>
    <row r="1297" spans="1:26" ht="15.75" customHeight="1">
      <c r="A1297" s="120" t="str">
        <f>IF(B1297&lt;&gt;"",IF(AND(B1297&gt;=_TM1,B1297&lt;=_TM2,OR(TH!L1297="1111",TH!M1297="1111")),TH!D1297,""),"")</f>
        <v/>
      </c>
      <c r="B1297" s="568">
        <f t="shared" si="60"/>
        <v>11</v>
      </c>
      <c r="C1297" s="569">
        <f t="shared" si="65"/>
        <v>42693</v>
      </c>
      <c r="D1297" s="552" t="s">
        <v>1020</v>
      </c>
      <c r="E1297" s="589">
        <v>42693</v>
      </c>
      <c r="F1297" s="592" t="s">
        <v>686</v>
      </c>
      <c r="G1297" s="590" t="s">
        <v>767</v>
      </c>
      <c r="H1297" s="555" t="s">
        <v>1073</v>
      </c>
      <c r="I1297" s="131">
        <v>26</v>
      </c>
      <c r="J1297" s="131">
        <v>35836.756079069331</v>
      </c>
      <c r="K1297" s="21">
        <f t="shared" si="64"/>
        <v>931756</v>
      </c>
      <c r="L1297" s="550" t="s">
        <v>166</v>
      </c>
      <c r="M1297" s="550" t="s">
        <v>161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/>
      </c>
      <c r="Z1297" s="563"/>
    </row>
    <row r="1298" spans="1:26" ht="15.75" customHeight="1">
      <c r="A1298" s="120" t="str">
        <f>IF(B1298&lt;&gt;"",IF(AND(B1298&gt;=_TM1,B1298&lt;=_TM2,OR(TH!L1298="1111",TH!M1298="1111")),TH!D1298,""),"")</f>
        <v/>
      </c>
      <c r="B1298" s="568">
        <f t="shared" si="60"/>
        <v>11</v>
      </c>
      <c r="C1298" s="569">
        <f t="shared" si="65"/>
        <v>42693</v>
      </c>
      <c r="D1298" s="552" t="s">
        <v>1020</v>
      </c>
      <c r="E1298" s="589">
        <v>42693</v>
      </c>
      <c r="F1298" s="592" t="s">
        <v>687</v>
      </c>
      <c r="G1298" s="590" t="s">
        <v>767</v>
      </c>
      <c r="H1298" s="555" t="s">
        <v>1073</v>
      </c>
      <c r="I1298" s="131">
        <v>21</v>
      </c>
      <c r="J1298" s="131">
        <v>21836.834383636728</v>
      </c>
      <c r="K1298" s="21">
        <f t="shared" si="64"/>
        <v>458574</v>
      </c>
      <c r="L1298" s="550" t="s">
        <v>166</v>
      </c>
      <c r="M1298" s="550" t="s">
        <v>161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/>
      </c>
      <c r="Z1298" s="563"/>
    </row>
    <row r="1299" spans="1:26" ht="15.75" customHeight="1">
      <c r="A1299" s="120" t="str">
        <f>IF(B1299&lt;&gt;"",IF(AND(B1299&gt;=_TM1,B1299&lt;=_TM2,OR(TH!L1299="1111",TH!M1299="1111")),TH!D1299,""),"")</f>
        <v/>
      </c>
      <c r="B1299" s="568">
        <f t="shared" si="60"/>
        <v>11</v>
      </c>
      <c r="C1299" s="569">
        <f t="shared" si="65"/>
        <v>42694</v>
      </c>
      <c r="D1299" s="552" t="s">
        <v>1020</v>
      </c>
      <c r="E1299" s="589">
        <v>42694</v>
      </c>
      <c r="F1299" s="592" t="s">
        <v>957</v>
      </c>
      <c r="G1299" s="590" t="s">
        <v>436</v>
      </c>
      <c r="H1299" s="555" t="s">
        <v>1073</v>
      </c>
      <c r="I1299" s="131">
        <v>1560</v>
      </c>
      <c r="J1299" s="131">
        <v>9586.9029001331983</v>
      </c>
      <c r="K1299" s="21">
        <f t="shared" si="64"/>
        <v>14955569</v>
      </c>
      <c r="L1299" s="550" t="s">
        <v>166</v>
      </c>
      <c r="M1299" s="550" t="s">
        <v>161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/>
      </c>
      <c r="Z1299" s="563"/>
    </row>
    <row r="1300" spans="1:26" ht="15.75" customHeight="1">
      <c r="A1300" s="120" t="str">
        <f>IF(B1300&lt;&gt;"",IF(AND(B1300&gt;=_TM1,B1300&lt;=_TM2,OR(TH!L1300="1111",TH!M1300="1111")),TH!D1300,""),"")</f>
        <v/>
      </c>
      <c r="B1300" s="568">
        <f t="shared" si="60"/>
        <v>11</v>
      </c>
      <c r="C1300" s="569">
        <f t="shared" si="65"/>
        <v>42693</v>
      </c>
      <c r="D1300" s="552" t="s">
        <v>1020</v>
      </c>
      <c r="E1300" s="589">
        <v>42693</v>
      </c>
      <c r="F1300" s="592" t="s">
        <v>811</v>
      </c>
      <c r="G1300" s="590" t="s">
        <v>813</v>
      </c>
      <c r="H1300" s="555" t="s">
        <v>1073</v>
      </c>
      <c r="I1300" s="131">
        <v>4000</v>
      </c>
      <c r="J1300" s="131">
        <v>6391.2686000887979</v>
      </c>
      <c r="K1300" s="21">
        <f t="shared" si="64"/>
        <v>25565074</v>
      </c>
      <c r="L1300" s="550" t="s">
        <v>166</v>
      </c>
      <c r="M1300" s="550" t="s">
        <v>161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/>
      </c>
      <c r="Z1300" s="563"/>
    </row>
    <row r="1301" spans="1:26" ht="15.75" customHeight="1">
      <c r="A1301" s="120" t="str">
        <f>IF(B1301&lt;&gt;"",IF(AND(B1301&gt;=_TM1,B1301&lt;=_TM2,OR(TH!L1301="1111",TH!M1301="1111")),TH!D1301,""),"")</f>
        <v/>
      </c>
      <c r="B1301" s="568">
        <f t="shared" si="60"/>
        <v>11</v>
      </c>
      <c r="C1301" s="569">
        <f t="shared" si="65"/>
        <v>42696</v>
      </c>
      <c r="D1301" s="552" t="s">
        <v>1020</v>
      </c>
      <c r="E1301" s="589">
        <v>42696</v>
      </c>
      <c r="F1301" s="592" t="s">
        <v>682</v>
      </c>
      <c r="G1301" s="590" t="s">
        <v>768</v>
      </c>
      <c r="H1301" s="555" t="s">
        <v>1073</v>
      </c>
      <c r="I1301" s="131">
        <v>608</v>
      </c>
      <c r="J1301" s="131">
        <v>11489.06617396915</v>
      </c>
      <c r="K1301" s="21">
        <f t="shared" si="64"/>
        <v>6985352</v>
      </c>
      <c r="L1301" s="550" t="s">
        <v>166</v>
      </c>
      <c r="M1301" s="550" t="s">
        <v>161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/>
      </c>
      <c r="Z1301" s="563"/>
    </row>
    <row r="1302" spans="1:26" ht="15.75" customHeight="1">
      <c r="A1302" s="120" t="str">
        <f>IF(B1302&lt;&gt;"",IF(AND(B1302&gt;=_TM1,B1302&lt;=_TM2,OR(TH!L1302="1111",TH!M1302="1111")),TH!D1302,""),"")</f>
        <v/>
      </c>
      <c r="B1302" s="568">
        <f t="shared" si="60"/>
        <v>11</v>
      </c>
      <c r="C1302" s="569">
        <f t="shared" si="65"/>
        <v>42697</v>
      </c>
      <c r="D1302" s="552" t="s">
        <v>1020</v>
      </c>
      <c r="E1302" s="589">
        <v>42697</v>
      </c>
      <c r="F1302" s="592" t="s">
        <v>811</v>
      </c>
      <c r="G1302" s="590" t="s">
        <v>814</v>
      </c>
      <c r="H1302" s="555" t="s">
        <v>1073</v>
      </c>
      <c r="I1302" s="131">
        <v>3353</v>
      </c>
      <c r="J1302" s="131">
        <v>6391.2686000887979</v>
      </c>
      <c r="K1302" s="21">
        <f t="shared" si="64"/>
        <v>21429924</v>
      </c>
      <c r="L1302" s="550" t="s">
        <v>166</v>
      </c>
      <c r="M1302" s="550" t="s">
        <v>161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/>
      </c>
      <c r="Z1302" s="563"/>
    </row>
    <row r="1303" spans="1:26" ht="15.75" customHeight="1">
      <c r="A1303" s="120" t="str">
        <f>IF(B1303&lt;&gt;"",IF(AND(B1303&gt;=_TM1,B1303&lt;=_TM2,OR(TH!L1303="1111",TH!M1303="1111")),TH!D1303,""),"")</f>
        <v/>
      </c>
      <c r="B1303" s="568">
        <f t="shared" si="60"/>
        <v>11</v>
      </c>
      <c r="C1303" s="569">
        <f t="shared" si="65"/>
        <v>42703</v>
      </c>
      <c r="D1303" s="552" t="s">
        <v>1020</v>
      </c>
      <c r="E1303" s="589">
        <v>42703</v>
      </c>
      <c r="F1303" s="592" t="s">
        <v>689</v>
      </c>
      <c r="G1303" s="590" t="s">
        <v>769</v>
      </c>
      <c r="H1303" s="555" t="s">
        <v>1073</v>
      </c>
      <c r="I1303" s="572">
        <v>1020</v>
      </c>
      <c r="J1303" s="131">
        <v>5173.8841048337899</v>
      </c>
      <c r="K1303" s="21">
        <f t="shared" si="64"/>
        <v>5277362</v>
      </c>
      <c r="L1303" s="550" t="s">
        <v>166</v>
      </c>
      <c r="M1303" s="550" t="s">
        <v>161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/>
      </c>
      <c r="Z1303" s="563"/>
    </row>
    <row r="1304" spans="1:26" ht="15.75" customHeight="1">
      <c r="A1304" s="120" t="str">
        <f>IF(B1304&lt;&gt;"",IF(AND(B1304&gt;=_TM1,B1304&lt;=_TM2,OR(TH!L1304="1111",TH!M1304="1111")),TH!D1304,""),"")</f>
        <v/>
      </c>
      <c r="B1304" s="568">
        <f t="shared" si="60"/>
        <v>11</v>
      </c>
      <c r="C1304" s="569">
        <f t="shared" si="65"/>
        <v>42703</v>
      </c>
      <c r="D1304" s="552" t="s">
        <v>1020</v>
      </c>
      <c r="E1304" s="589">
        <v>42703</v>
      </c>
      <c r="F1304" s="592" t="s">
        <v>691</v>
      </c>
      <c r="G1304" s="590" t="s">
        <v>770</v>
      </c>
      <c r="H1304" s="555" t="s">
        <v>1073</v>
      </c>
      <c r="I1304" s="572">
        <v>25</v>
      </c>
      <c r="J1304" s="131">
        <v>72282.20440576617</v>
      </c>
      <c r="K1304" s="21">
        <f t="shared" si="64"/>
        <v>1807055</v>
      </c>
      <c r="L1304" s="550" t="s">
        <v>166</v>
      </c>
      <c r="M1304" s="550" t="s">
        <v>161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/>
      </c>
      <c r="Z1304" s="563"/>
    </row>
    <row r="1305" spans="1:26" ht="15.75" customHeight="1">
      <c r="A1305" s="120" t="str">
        <f>IF(B1305&lt;&gt;"",IF(AND(B1305&gt;=_TM1,B1305&lt;=_TM2,OR(TH!L1305="1111",TH!M1305="1111")),TH!D1305,""),"")</f>
        <v/>
      </c>
      <c r="B1305" s="568">
        <f t="shared" si="60"/>
        <v>11</v>
      </c>
      <c r="C1305" s="569">
        <f t="shared" si="65"/>
        <v>42703</v>
      </c>
      <c r="D1305" s="552" t="s">
        <v>1020</v>
      </c>
      <c r="E1305" s="589">
        <v>42703</v>
      </c>
      <c r="F1305" s="592" t="s">
        <v>692</v>
      </c>
      <c r="G1305" s="590" t="s">
        <v>770</v>
      </c>
      <c r="H1305" s="555" t="s">
        <v>1073</v>
      </c>
      <c r="I1305" s="572">
        <v>5</v>
      </c>
      <c r="J1305" s="131">
        <v>58510.542303193884</v>
      </c>
      <c r="K1305" s="21">
        <f t="shared" si="64"/>
        <v>292553</v>
      </c>
      <c r="L1305" s="550" t="s">
        <v>166</v>
      </c>
      <c r="M1305" s="550" t="s">
        <v>161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/>
      </c>
      <c r="Z1305" s="563"/>
    </row>
    <row r="1306" spans="1:26" ht="15.75" customHeight="1">
      <c r="A1306" s="120" t="str">
        <f>IF(B1306&lt;&gt;"",IF(AND(B1306&gt;=_TM1,B1306&lt;=_TM2,OR(TH!L1306="1111",TH!M1306="1111")),TH!D1306,""),"")</f>
        <v/>
      </c>
      <c r="B1306" s="568">
        <f t="shared" si="60"/>
        <v>11</v>
      </c>
      <c r="C1306" s="569">
        <f t="shared" si="65"/>
        <v>42703</v>
      </c>
      <c r="D1306" s="552" t="s">
        <v>1020</v>
      </c>
      <c r="E1306" s="589">
        <v>42703</v>
      </c>
      <c r="F1306" s="592" t="s">
        <v>693</v>
      </c>
      <c r="G1306" s="590" t="s">
        <v>770</v>
      </c>
      <c r="H1306" s="555" t="s">
        <v>1073</v>
      </c>
      <c r="I1306" s="572">
        <v>100</v>
      </c>
      <c r="J1306" s="131">
        <v>43825.841829180332</v>
      </c>
      <c r="K1306" s="21">
        <f t="shared" si="64"/>
        <v>4382584</v>
      </c>
      <c r="L1306" s="550" t="s">
        <v>166</v>
      </c>
      <c r="M1306" s="550" t="s">
        <v>161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/>
      </c>
      <c r="Z1306" s="563"/>
    </row>
    <row r="1307" spans="1:26" ht="15.75" customHeight="1">
      <c r="A1307" s="120" t="str">
        <f>IF(B1307&lt;&gt;"",IF(AND(B1307&gt;=_TM1,B1307&lt;=_TM2,OR(TH!L1307="1111",TH!M1307="1111")),TH!D1307,""),"")</f>
        <v/>
      </c>
      <c r="B1307" s="568">
        <f t="shared" si="60"/>
        <v>11</v>
      </c>
      <c r="C1307" s="569">
        <f t="shared" si="65"/>
        <v>42703</v>
      </c>
      <c r="D1307" s="552" t="s">
        <v>1020</v>
      </c>
      <c r="E1307" s="589">
        <v>42703</v>
      </c>
      <c r="F1307" s="592" t="s">
        <v>694</v>
      </c>
      <c r="G1307" s="590" t="s">
        <v>770</v>
      </c>
      <c r="H1307" s="555" t="s">
        <v>1073</v>
      </c>
      <c r="I1307" s="131">
        <v>12</v>
      </c>
      <c r="J1307" s="131">
        <v>85216.914667850637</v>
      </c>
      <c r="K1307" s="21">
        <f t="shared" si="64"/>
        <v>1022603</v>
      </c>
      <c r="L1307" s="550" t="s">
        <v>166</v>
      </c>
      <c r="M1307" s="550" t="s">
        <v>161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/>
      </c>
      <c r="Z1307" s="563"/>
    </row>
    <row r="1308" spans="1:26" ht="15.75" customHeight="1">
      <c r="A1308" s="120" t="str">
        <f>IF(B1308&lt;&gt;"",IF(AND(B1308&gt;=_TM1,B1308&lt;=_TM2,OR(TH!L1308="1111",TH!M1308="1111")),TH!D1308,""),"")</f>
        <v/>
      </c>
      <c r="B1308" s="568">
        <f t="shared" si="60"/>
        <v>12</v>
      </c>
      <c r="C1308" s="569">
        <f t="shared" si="65"/>
        <v>42705</v>
      </c>
      <c r="D1308" s="552" t="s">
        <v>1020</v>
      </c>
      <c r="E1308" s="589">
        <v>42705</v>
      </c>
      <c r="F1308" s="592" t="s">
        <v>811</v>
      </c>
      <c r="G1308" s="590" t="s">
        <v>774</v>
      </c>
      <c r="H1308" s="555" t="s">
        <v>1073</v>
      </c>
      <c r="I1308" s="131">
        <v>2400</v>
      </c>
      <c r="J1308" s="131">
        <v>6391.2686000887979</v>
      </c>
      <c r="K1308" s="21">
        <f t="shared" si="64"/>
        <v>15339045</v>
      </c>
      <c r="L1308" s="550" t="s">
        <v>166</v>
      </c>
      <c r="M1308" s="550" t="s">
        <v>161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/>
      </c>
      <c r="Z1308" s="563"/>
    </row>
    <row r="1309" spans="1:26" ht="15.75" customHeight="1">
      <c r="A1309" s="120" t="str">
        <f>IF(B1309&lt;&gt;"",IF(AND(B1309&gt;=_TM1,B1309&lt;=_TM2,OR(TH!L1309="1111",TH!M1309="1111")),TH!D1309,""),"")</f>
        <v/>
      </c>
      <c r="B1309" s="568">
        <f t="shared" si="60"/>
        <v>12</v>
      </c>
      <c r="C1309" s="569">
        <f t="shared" si="65"/>
        <v>42706</v>
      </c>
      <c r="D1309" s="552" t="s">
        <v>1020</v>
      </c>
      <c r="E1309" s="589">
        <v>42706</v>
      </c>
      <c r="F1309" s="592" t="s">
        <v>811</v>
      </c>
      <c r="G1309" s="590" t="s">
        <v>822</v>
      </c>
      <c r="H1309" s="555" t="s">
        <v>1073</v>
      </c>
      <c r="I1309" s="572">
        <v>1600</v>
      </c>
      <c r="J1309" s="572">
        <v>6391.2686000887979</v>
      </c>
      <c r="K1309" s="21">
        <f t="shared" si="64"/>
        <v>10226030</v>
      </c>
      <c r="L1309" s="550" t="s">
        <v>166</v>
      </c>
      <c r="M1309" s="550" t="s">
        <v>161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/>
      </c>
      <c r="Z1309" s="563"/>
    </row>
    <row r="1310" spans="1:26" ht="15.75" customHeight="1">
      <c r="A1310" s="120" t="str">
        <f>IF(B1310&lt;&gt;"",IF(AND(B1310&gt;=_TM1,B1310&lt;=_TM2,OR(TH!L1310="1111",TH!M1310="1111")),TH!D1310,""),"")</f>
        <v/>
      </c>
      <c r="B1310" s="568">
        <f t="shared" si="60"/>
        <v>12</v>
      </c>
      <c r="C1310" s="569">
        <f t="shared" si="65"/>
        <v>42707</v>
      </c>
      <c r="D1310" s="552" t="s">
        <v>1020</v>
      </c>
      <c r="E1310" s="589">
        <v>42707</v>
      </c>
      <c r="F1310" s="592" t="s">
        <v>811</v>
      </c>
      <c r="G1310" s="590" t="s">
        <v>823</v>
      </c>
      <c r="H1310" s="555" t="s">
        <v>1073</v>
      </c>
      <c r="I1310" s="131">
        <v>4000</v>
      </c>
      <c r="J1310" s="131">
        <v>6391.2686000887979</v>
      </c>
      <c r="K1310" s="21">
        <f t="shared" si="64"/>
        <v>25565074</v>
      </c>
      <c r="L1310" s="550" t="s">
        <v>166</v>
      </c>
      <c r="M1310" s="550" t="s">
        <v>161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/>
      </c>
      <c r="Z1310" s="563"/>
    </row>
    <row r="1311" spans="1:26" ht="15.75" customHeight="1">
      <c r="A1311" s="120" t="str">
        <f>IF(B1311&lt;&gt;"",IF(AND(B1311&gt;=_TM1,B1311&lt;=_TM2,OR(TH!L1311="1111",TH!M1311="1111")),TH!D1311,""),"")</f>
        <v/>
      </c>
      <c r="B1311" s="568">
        <f t="shared" si="60"/>
        <v>12</v>
      </c>
      <c r="C1311" s="569">
        <f t="shared" si="65"/>
        <v>42708</v>
      </c>
      <c r="D1311" s="552" t="s">
        <v>1020</v>
      </c>
      <c r="E1311" s="589">
        <v>42708</v>
      </c>
      <c r="F1311" s="592" t="s">
        <v>825</v>
      </c>
      <c r="G1311" s="590" t="s">
        <v>824</v>
      </c>
      <c r="H1311" s="555" t="s">
        <v>1073</v>
      </c>
      <c r="I1311" s="131">
        <v>6154</v>
      </c>
      <c r="J1311" s="131">
        <v>7456.4800334369311</v>
      </c>
      <c r="K1311" s="21">
        <f t="shared" si="64"/>
        <v>45887178</v>
      </c>
      <c r="L1311" s="550" t="s">
        <v>166</v>
      </c>
      <c r="M1311" s="550" t="s">
        <v>161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/>
      </c>
      <c r="Z1311" s="563"/>
    </row>
    <row r="1312" spans="1:26" ht="15.75" customHeight="1">
      <c r="A1312" s="120" t="str">
        <f>IF(B1312&lt;&gt;"",IF(AND(B1312&gt;=_TM1,B1312&lt;=_TM2,OR(TH!L1312="1111",TH!M1312="1111")),TH!D1312,""),"")</f>
        <v/>
      </c>
      <c r="B1312" s="568">
        <f t="shared" si="60"/>
        <v>12</v>
      </c>
      <c r="C1312" s="569">
        <f t="shared" si="65"/>
        <v>42708</v>
      </c>
      <c r="D1312" s="552" t="s">
        <v>1020</v>
      </c>
      <c r="E1312" s="589">
        <v>42708</v>
      </c>
      <c r="F1312" s="592" t="s">
        <v>826</v>
      </c>
      <c r="G1312" s="590" t="s">
        <v>824</v>
      </c>
      <c r="H1312" s="555" t="s">
        <v>1073</v>
      </c>
      <c r="I1312" s="131">
        <v>878</v>
      </c>
      <c r="J1312" s="131">
        <v>8978.2106525056934</v>
      </c>
      <c r="K1312" s="21">
        <f t="shared" si="64"/>
        <v>7882869</v>
      </c>
      <c r="L1312" s="550" t="s">
        <v>166</v>
      </c>
      <c r="M1312" s="550" t="s">
        <v>161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/>
      </c>
      <c r="Z1312" s="563"/>
    </row>
    <row r="1313" spans="1:26" ht="15.75" customHeight="1">
      <c r="A1313" s="120" t="str">
        <f>IF(B1313&lt;&gt;"",IF(AND(B1313&gt;=_TM1,B1313&lt;=_TM2,OR(TH!L1313="1111",TH!M1313="1111")),TH!D1313,""),"")</f>
        <v/>
      </c>
      <c r="B1313" s="568">
        <f t="shared" si="60"/>
        <v>12</v>
      </c>
      <c r="C1313" s="569">
        <f t="shared" si="65"/>
        <v>42709</v>
      </c>
      <c r="D1313" s="552" t="s">
        <v>1020</v>
      </c>
      <c r="E1313" s="589">
        <v>42709</v>
      </c>
      <c r="F1313" s="592" t="s">
        <v>811</v>
      </c>
      <c r="G1313" s="590" t="s">
        <v>827</v>
      </c>
      <c r="H1313" s="555" t="s">
        <v>1073</v>
      </c>
      <c r="I1313" s="131">
        <v>2400</v>
      </c>
      <c r="J1313" s="131">
        <v>6391.2686000887979</v>
      </c>
      <c r="K1313" s="21">
        <f t="shared" si="64"/>
        <v>15339045</v>
      </c>
      <c r="L1313" s="550" t="s">
        <v>166</v>
      </c>
      <c r="M1313" s="550" t="s">
        <v>161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/>
      </c>
      <c r="Z1313" s="563"/>
    </row>
    <row r="1314" spans="1:26" ht="15.75" customHeight="1">
      <c r="A1314" s="120" t="str">
        <f>IF(B1314&lt;&gt;"",IF(AND(B1314&gt;=_TM1,B1314&lt;=_TM2,OR(TH!L1314="1111",TH!M1314="1111")),TH!D1314,""),"")</f>
        <v/>
      </c>
      <c r="B1314" s="568">
        <f t="shared" si="60"/>
        <v>12</v>
      </c>
      <c r="C1314" s="569">
        <f t="shared" si="65"/>
        <v>42710</v>
      </c>
      <c r="D1314" s="552" t="s">
        <v>1020</v>
      </c>
      <c r="E1314" s="589">
        <v>42710</v>
      </c>
      <c r="F1314" s="592" t="s">
        <v>811</v>
      </c>
      <c r="G1314" s="590" t="s">
        <v>828</v>
      </c>
      <c r="H1314" s="555" t="s">
        <v>1073</v>
      </c>
      <c r="I1314" s="131">
        <v>2400</v>
      </c>
      <c r="J1314" s="131">
        <v>6391.2686000887979</v>
      </c>
      <c r="K1314" s="21">
        <f t="shared" si="64"/>
        <v>15339045</v>
      </c>
      <c r="L1314" s="550" t="s">
        <v>166</v>
      </c>
      <c r="M1314" s="550" t="s">
        <v>161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/>
      </c>
      <c r="Z1314" s="563"/>
    </row>
    <row r="1315" spans="1:26" ht="15.75" customHeight="1">
      <c r="A1315" s="120" t="str">
        <f>IF(B1315&lt;&gt;"",IF(AND(B1315&gt;=_TM1,B1315&lt;=_TM2,OR(TH!L1315="1111",TH!M1315="1111")),TH!D1315,""),"")</f>
        <v/>
      </c>
      <c r="B1315" s="568">
        <f t="shared" si="60"/>
        <v>12</v>
      </c>
      <c r="C1315" s="569">
        <f t="shared" si="65"/>
        <v>42713</v>
      </c>
      <c r="D1315" s="552" t="s">
        <v>1020</v>
      </c>
      <c r="E1315" s="589">
        <v>42713</v>
      </c>
      <c r="F1315" s="592" t="s">
        <v>831</v>
      </c>
      <c r="G1315" s="590" t="s">
        <v>830</v>
      </c>
      <c r="H1315" s="555" t="s">
        <v>1073</v>
      </c>
      <c r="I1315" s="131">
        <v>400</v>
      </c>
      <c r="J1315" s="131">
        <v>9282.5567763194449</v>
      </c>
      <c r="K1315" s="21">
        <f t="shared" si="64"/>
        <v>3713023</v>
      </c>
      <c r="L1315" s="550" t="s">
        <v>166</v>
      </c>
      <c r="M1315" s="550" t="s">
        <v>161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/>
      </c>
      <c r="Z1315" s="563"/>
    </row>
    <row r="1316" spans="1:26" ht="15.75" customHeight="1">
      <c r="A1316" s="120" t="str">
        <f>IF(B1316&lt;&gt;"",IF(AND(B1316&gt;=_TM1,B1316&lt;=_TM2,OR(TH!L1316="1111",TH!M1316="1111")),TH!D1316,""),"")</f>
        <v/>
      </c>
      <c r="B1316" s="568">
        <f t="shared" si="60"/>
        <v>12</v>
      </c>
      <c r="C1316" s="569">
        <f t="shared" si="65"/>
        <v>42713</v>
      </c>
      <c r="D1316" s="552" t="s">
        <v>1020</v>
      </c>
      <c r="E1316" s="589">
        <v>42713</v>
      </c>
      <c r="F1316" s="592" t="s">
        <v>832</v>
      </c>
      <c r="G1316" s="590" t="s">
        <v>830</v>
      </c>
      <c r="H1316" s="555" t="s">
        <v>1073</v>
      </c>
      <c r="I1316" s="131">
        <v>4000</v>
      </c>
      <c r="J1316" s="132">
        <v>1749.9902119290759</v>
      </c>
      <c r="K1316" s="21">
        <f t="shared" si="64"/>
        <v>6999961</v>
      </c>
      <c r="L1316" s="550" t="s">
        <v>166</v>
      </c>
      <c r="M1316" s="550" t="s">
        <v>161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/>
      </c>
      <c r="Z1316" s="563"/>
    </row>
    <row r="1317" spans="1:26" ht="15.75" customHeight="1">
      <c r="A1317" s="120" t="str">
        <f>IF(B1317&lt;&gt;"",IF(AND(B1317&gt;=_TM1,B1317&lt;=_TM2,OR(TH!L1317="1111",TH!M1317="1111")),TH!D1317,""),"")</f>
        <v/>
      </c>
      <c r="B1317" s="568">
        <f t="shared" si="60"/>
        <v>12</v>
      </c>
      <c r="C1317" s="569">
        <f t="shared" si="65"/>
        <v>42713</v>
      </c>
      <c r="D1317" s="552" t="s">
        <v>1020</v>
      </c>
      <c r="E1317" s="589">
        <v>42713</v>
      </c>
      <c r="F1317" s="592" t="s">
        <v>826</v>
      </c>
      <c r="G1317" s="590" t="s">
        <v>439</v>
      </c>
      <c r="H1317" s="555" t="s">
        <v>1073</v>
      </c>
      <c r="I1317" s="572">
        <v>5240</v>
      </c>
      <c r="J1317" s="572">
        <v>8978.2106525056934</v>
      </c>
      <c r="K1317" s="21">
        <f t="shared" si="64"/>
        <v>47045824</v>
      </c>
      <c r="L1317" s="550" t="s">
        <v>166</v>
      </c>
      <c r="M1317" s="550" t="s">
        <v>161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/>
      </c>
      <c r="Z1317" s="563"/>
    </row>
    <row r="1318" spans="1:26" ht="15.75" customHeight="1">
      <c r="A1318" s="120" t="str">
        <f>IF(B1318&lt;&gt;"",IF(AND(B1318&gt;=_TM1,B1318&lt;=_TM2,OR(TH!L1318="1111",TH!M1318="1111")),TH!D1318,""),"")</f>
        <v/>
      </c>
      <c r="B1318" s="568">
        <f t="shared" si="60"/>
        <v>12</v>
      </c>
      <c r="C1318" s="569">
        <f t="shared" si="65"/>
        <v>42713</v>
      </c>
      <c r="D1318" s="552" t="s">
        <v>1020</v>
      </c>
      <c r="E1318" s="589">
        <v>42713</v>
      </c>
      <c r="F1318" s="592" t="s">
        <v>835</v>
      </c>
      <c r="G1318" s="590" t="s">
        <v>834</v>
      </c>
      <c r="H1318" s="555" t="s">
        <v>1073</v>
      </c>
      <c r="I1318" s="131">
        <v>91</v>
      </c>
      <c r="J1318" s="131">
        <v>17119.469464523569</v>
      </c>
      <c r="K1318" s="21">
        <f t="shared" si="64"/>
        <v>1557872</v>
      </c>
      <c r="L1318" s="550" t="s">
        <v>166</v>
      </c>
      <c r="M1318" s="550" t="s">
        <v>161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/>
      </c>
      <c r="Z1318" s="563"/>
    </row>
    <row r="1319" spans="1:26" ht="15.75" customHeight="1">
      <c r="A1319" s="120" t="str">
        <f>IF(B1319&lt;&gt;"",IF(AND(B1319&gt;=_TM1,B1319&lt;=_TM2,OR(TH!L1319="1111",TH!M1319="1111")),TH!D1319,""),"")</f>
        <v/>
      </c>
      <c r="B1319" s="568">
        <f t="shared" si="60"/>
        <v>12</v>
      </c>
      <c r="C1319" s="569">
        <f t="shared" si="65"/>
        <v>42713</v>
      </c>
      <c r="D1319" s="552" t="s">
        <v>1020</v>
      </c>
      <c r="E1319" s="589">
        <v>42713</v>
      </c>
      <c r="F1319" s="592" t="s">
        <v>836</v>
      </c>
      <c r="G1319" s="590" t="s">
        <v>834</v>
      </c>
      <c r="H1319" s="555" t="s">
        <v>1073</v>
      </c>
      <c r="I1319" s="131">
        <v>300</v>
      </c>
      <c r="J1319" s="131">
        <v>6391.2686000887979</v>
      </c>
      <c r="K1319" s="21">
        <f t="shared" si="64"/>
        <v>1917381</v>
      </c>
      <c r="L1319" s="550" t="s">
        <v>166</v>
      </c>
      <c r="M1319" s="550" t="s">
        <v>161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/>
      </c>
      <c r="Z1319" s="563"/>
    </row>
    <row r="1320" spans="1:26" ht="15.75" customHeight="1">
      <c r="A1320" s="120" t="str">
        <f>IF(B1320&lt;&gt;"",IF(AND(B1320&gt;=_TM1,B1320&lt;=_TM2,OR(TH!L1320="1111",TH!M1320="1111")),TH!D1320,""),"")</f>
        <v/>
      </c>
      <c r="B1320" s="568">
        <f t="shared" si="60"/>
        <v>12</v>
      </c>
      <c r="C1320" s="569">
        <f t="shared" si="65"/>
        <v>42713</v>
      </c>
      <c r="D1320" s="552" t="s">
        <v>1020</v>
      </c>
      <c r="E1320" s="589">
        <v>42713</v>
      </c>
      <c r="F1320" s="592" t="s">
        <v>811</v>
      </c>
      <c r="G1320" s="590" t="s">
        <v>837</v>
      </c>
      <c r="H1320" s="555" t="s">
        <v>1073</v>
      </c>
      <c r="I1320" s="131">
        <v>2400</v>
      </c>
      <c r="J1320" s="131">
        <v>6391.2686000887979</v>
      </c>
      <c r="K1320" s="21">
        <f t="shared" si="64"/>
        <v>15339045</v>
      </c>
      <c r="L1320" s="550" t="s">
        <v>166</v>
      </c>
      <c r="M1320" s="550" t="s">
        <v>161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/>
      </c>
      <c r="Z1320" s="563"/>
    </row>
    <row r="1321" spans="1:26" ht="15.75" customHeight="1">
      <c r="A1321" s="120" t="str">
        <f>IF(B1321&lt;&gt;"",IF(AND(B1321&gt;=_TM1,B1321&lt;=_TM2,OR(TH!L1321="1111",TH!M1321="1111")),TH!D1321,""),"")</f>
        <v/>
      </c>
      <c r="B1321" s="568">
        <f t="shared" si="60"/>
        <v>12</v>
      </c>
      <c r="C1321" s="569">
        <f t="shared" si="65"/>
        <v>42714</v>
      </c>
      <c r="D1321" s="552" t="s">
        <v>1020</v>
      </c>
      <c r="E1321" s="589">
        <v>42714</v>
      </c>
      <c r="F1321" s="592" t="s">
        <v>811</v>
      </c>
      <c r="G1321" s="590" t="s">
        <v>838</v>
      </c>
      <c r="H1321" s="555" t="s">
        <v>1073</v>
      </c>
      <c r="I1321" s="572">
        <v>2400</v>
      </c>
      <c r="J1321" s="572">
        <v>6391.2686000887979</v>
      </c>
      <c r="K1321" s="21">
        <f t="shared" si="64"/>
        <v>15339045</v>
      </c>
      <c r="L1321" s="550" t="s">
        <v>166</v>
      </c>
      <c r="M1321" s="550" t="s">
        <v>161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/>
      </c>
      <c r="Z1321" s="563"/>
    </row>
    <row r="1322" spans="1:26" ht="15.75" customHeight="1">
      <c r="A1322" s="120" t="str">
        <f>IF(B1322&lt;&gt;"",IF(AND(B1322&gt;=_TM1,B1322&lt;=_TM2,OR(TH!L1322="1111",TH!M1322="1111")),TH!D1322,""),"")</f>
        <v/>
      </c>
      <c r="B1322" s="568">
        <f t="shared" si="60"/>
        <v>12</v>
      </c>
      <c r="C1322" s="569">
        <f t="shared" si="65"/>
        <v>42715</v>
      </c>
      <c r="D1322" s="552" t="s">
        <v>1020</v>
      </c>
      <c r="E1322" s="589">
        <v>42715</v>
      </c>
      <c r="F1322" s="592" t="s">
        <v>811</v>
      </c>
      <c r="G1322" s="590" t="s">
        <v>839</v>
      </c>
      <c r="H1322" s="555" t="s">
        <v>1073</v>
      </c>
      <c r="I1322" s="572">
        <v>2400</v>
      </c>
      <c r="J1322" s="572">
        <v>6391.2686000887979</v>
      </c>
      <c r="K1322" s="21">
        <f t="shared" si="64"/>
        <v>15339045</v>
      </c>
      <c r="L1322" s="550" t="s">
        <v>166</v>
      </c>
      <c r="M1322" s="550" t="s">
        <v>161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/>
      </c>
      <c r="Z1322" s="563"/>
    </row>
    <row r="1323" spans="1:26" ht="15.75" customHeight="1">
      <c r="A1323" s="120" t="str">
        <f>IF(B1323&lt;&gt;"",IF(AND(B1323&gt;=_TM1,B1323&lt;=_TM2,OR(TH!L1323="1111",TH!M1323="1111")),TH!D1323,""),"")</f>
        <v/>
      </c>
      <c r="B1323" s="568">
        <f t="shared" si="60"/>
        <v>12</v>
      </c>
      <c r="C1323" s="569">
        <f t="shared" si="65"/>
        <v>42716</v>
      </c>
      <c r="D1323" s="552" t="s">
        <v>1020</v>
      </c>
      <c r="E1323" s="589">
        <v>42716</v>
      </c>
      <c r="F1323" s="592" t="s">
        <v>811</v>
      </c>
      <c r="G1323" s="590" t="s">
        <v>840</v>
      </c>
      <c r="H1323" s="555" t="s">
        <v>1073</v>
      </c>
      <c r="I1323" s="131">
        <v>2400</v>
      </c>
      <c r="J1323" s="132">
        <v>6391.2686000887979</v>
      </c>
      <c r="K1323" s="21">
        <f t="shared" si="64"/>
        <v>15339045</v>
      </c>
      <c r="L1323" s="550" t="s">
        <v>166</v>
      </c>
      <c r="M1323" s="550" t="s">
        <v>161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/>
      </c>
      <c r="Z1323" s="563"/>
    </row>
    <row r="1324" spans="1:26" ht="15.75" customHeight="1">
      <c r="A1324" s="120" t="str">
        <f>IF(B1324&lt;&gt;"",IF(AND(B1324&gt;=_TM1,B1324&lt;=_TM2,OR(TH!L1324="1111",TH!M1324="1111")),TH!D1324,""),"")</f>
        <v/>
      </c>
      <c r="B1324" s="568">
        <f t="shared" si="60"/>
        <v>12</v>
      </c>
      <c r="C1324" s="569">
        <f t="shared" si="65"/>
        <v>42716</v>
      </c>
      <c r="D1324" s="552" t="s">
        <v>1020</v>
      </c>
      <c r="E1324" s="589">
        <v>42716</v>
      </c>
      <c r="F1324" s="592" t="s">
        <v>662</v>
      </c>
      <c r="G1324" s="590" t="s">
        <v>880</v>
      </c>
      <c r="H1324" s="555" t="s">
        <v>1073</v>
      </c>
      <c r="I1324" s="131">
        <v>332</v>
      </c>
      <c r="J1324" s="132">
        <v>7152.1339096231786</v>
      </c>
      <c r="K1324" s="21">
        <f t="shared" si="64"/>
        <v>2374508</v>
      </c>
      <c r="L1324" s="550" t="s">
        <v>166</v>
      </c>
      <c r="M1324" s="550" t="s">
        <v>161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/>
      </c>
      <c r="Z1324" s="563"/>
    </row>
    <row r="1325" spans="1:26" ht="15.75" customHeight="1">
      <c r="A1325" s="120" t="str">
        <f>IF(B1325&lt;&gt;"",IF(AND(B1325&gt;=_TM1,B1325&lt;=_TM2,OR(TH!L1325="1111",TH!M1325="1111")),TH!D1325,""),"")</f>
        <v/>
      </c>
      <c r="B1325" s="568">
        <f t="shared" si="60"/>
        <v>12</v>
      </c>
      <c r="C1325" s="569">
        <f t="shared" si="65"/>
        <v>42716</v>
      </c>
      <c r="D1325" s="552" t="s">
        <v>1020</v>
      </c>
      <c r="E1325" s="589">
        <v>42716</v>
      </c>
      <c r="F1325" s="592" t="s">
        <v>509</v>
      </c>
      <c r="G1325" s="590" t="s">
        <v>880</v>
      </c>
      <c r="H1325" s="555" t="s">
        <v>1073</v>
      </c>
      <c r="I1325" s="131">
        <v>104</v>
      </c>
      <c r="J1325" s="132">
        <v>10195.595147760703</v>
      </c>
      <c r="K1325" s="21">
        <f t="shared" ref="K1325:K1392" si="66">ROUND(I1325*J1325,0)</f>
        <v>1060342</v>
      </c>
      <c r="L1325" s="550" t="s">
        <v>166</v>
      </c>
      <c r="M1325" s="550" t="s">
        <v>161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/>
      </c>
      <c r="Z1325" s="563"/>
    </row>
    <row r="1326" spans="1:26" ht="15.75" customHeight="1">
      <c r="A1326" s="120" t="str">
        <f>IF(B1326&lt;&gt;"",IF(AND(B1326&gt;=_TM1,B1326&lt;=_TM2,OR(TH!L1326="1111",TH!M1326="1111")),TH!D1326,""),"")</f>
        <v/>
      </c>
      <c r="B1326" s="568">
        <f t="shared" si="60"/>
        <v>12</v>
      </c>
      <c r="C1326" s="569">
        <f t="shared" si="65"/>
        <v>42717</v>
      </c>
      <c r="D1326" s="552" t="s">
        <v>1020</v>
      </c>
      <c r="E1326" s="589">
        <v>42717</v>
      </c>
      <c r="F1326" s="592" t="s">
        <v>527</v>
      </c>
      <c r="G1326" s="590" t="s">
        <v>881</v>
      </c>
      <c r="H1326" s="555" t="s">
        <v>1073</v>
      </c>
      <c r="I1326" s="131">
        <v>60</v>
      </c>
      <c r="J1326" s="132">
        <v>55162.734941242605</v>
      </c>
      <c r="K1326" s="21">
        <f t="shared" si="66"/>
        <v>3309764</v>
      </c>
      <c r="L1326" s="550" t="s">
        <v>166</v>
      </c>
      <c r="M1326" s="550" t="s">
        <v>161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/>
      </c>
      <c r="Z1326" s="563"/>
    </row>
    <row r="1327" spans="1:26" ht="15.75" customHeight="1">
      <c r="A1327" s="120" t="str">
        <f>IF(B1327&lt;&gt;"",IF(AND(B1327&gt;=_TM1,B1327&lt;=_TM2,OR(TH!L1327="1111",TH!M1327="1111")),TH!D1327,""),"")</f>
        <v/>
      </c>
      <c r="B1327" s="568">
        <f t="shared" ref="B1327:B1336" si="67">IF(C1327&lt;&gt;"",MONTH(C1327),"")</f>
        <v>12</v>
      </c>
      <c r="C1327" s="569">
        <f t="shared" si="65"/>
        <v>42717</v>
      </c>
      <c r="D1327" s="552" t="s">
        <v>1020</v>
      </c>
      <c r="E1327" s="589">
        <v>42717</v>
      </c>
      <c r="F1327" s="592" t="s">
        <v>664</v>
      </c>
      <c r="G1327" s="590" t="s">
        <v>881</v>
      </c>
      <c r="H1327" s="555" t="s">
        <v>1073</v>
      </c>
      <c r="I1327" s="572">
        <v>22</v>
      </c>
      <c r="J1327" s="132">
        <v>64369.205186608619</v>
      </c>
      <c r="K1327" s="21">
        <f t="shared" si="66"/>
        <v>1416123</v>
      </c>
      <c r="L1327" s="550" t="s">
        <v>166</v>
      </c>
      <c r="M1327" s="550" t="s">
        <v>161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/>
      </c>
      <c r="Z1327" s="563"/>
    </row>
    <row r="1328" spans="1:26" ht="15.75" customHeight="1">
      <c r="A1328" s="120" t="str">
        <f>IF(B1328&lt;&gt;"",IF(AND(B1328&gt;=_TM1,B1328&lt;=_TM2,OR(TH!L1328="1111",TH!M1328="1111")),TH!D1328,""),"")</f>
        <v/>
      </c>
      <c r="B1328" s="568">
        <f t="shared" si="67"/>
        <v>12</v>
      </c>
      <c r="C1328" s="569">
        <f t="shared" si="65"/>
        <v>42719</v>
      </c>
      <c r="D1328" s="552" t="s">
        <v>1020</v>
      </c>
      <c r="E1328" s="589">
        <v>42719</v>
      </c>
      <c r="F1328" s="592" t="s">
        <v>842</v>
      </c>
      <c r="G1328" s="590" t="s">
        <v>841</v>
      </c>
      <c r="H1328" s="555" t="s">
        <v>1073</v>
      </c>
      <c r="I1328" s="572">
        <v>103</v>
      </c>
      <c r="J1328" s="132">
        <v>12021.671890643216</v>
      </c>
      <c r="K1328" s="21">
        <f t="shared" si="66"/>
        <v>1238232</v>
      </c>
      <c r="L1328" s="550" t="s">
        <v>166</v>
      </c>
      <c r="M1328" s="550" t="s">
        <v>161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/>
      </c>
      <c r="Z1328" s="563"/>
    </row>
    <row r="1329" spans="1:26" ht="15.75" customHeight="1">
      <c r="A1329" s="120" t="str">
        <f>IF(B1329&lt;&gt;"",IF(AND(B1329&gt;=_TM1,B1329&lt;=_TM2,OR(TH!L1329="1111",TH!M1329="1111")),TH!D1329,""),"")</f>
        <v/>
      </c>
      <c r="B1329" s="568">
        <f t="shared" si="67"/>
        <v>12</v>
      </c>
      <c r="C1329" s="569">
        <f t="shared" ref="C1329:C1392" si="68">E1329</f>
        <v>42719</v>
      </c>
      <c r="D1329" s="552" t="s">
        <v>1020</v>
      </c>
      <c r="E1329" s="589">
        <v>42719</v>
      </c>
      <c r="F1329" s="592" t="s">
        <v>843</v>
      </c>
      <c r="G1329" s="590" t="s">
        <v>841</v>
      </c>
      <c r="H1329" s="555" t="s">
        <v>1073</v>
      </c>
      <c r="I1329" s="131">
        <v>273</v>
      </c>
      <c r="J1329" s="132">
        <v>18260.767428825136</v>
      </c>
      <c r="K1329" s="21">
        <f t="shared" si="66"/>
        <v>4985190</v>
      </c>
      <c r="L1329" s="550" t="s">
        <v>166</v>
      </c>
      <c r="M1329" s="550" t="s">
        <v>161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/>
      </c>
      <c r="Z1329" s="563"/>
    </row>
    <row r="1330" spans="1:26" ht="15.75" customHeight="1">
      <c r="A1330" s="120" t="str">
        <f>IF(B1330&lt;&gt;"",IF(AND(B1330&gt;=_TM1,B1330&lt;=_TM2,OR(TH!L1330="1111",TH!M1330="1111")),TH!D1330,""),"")</f>
        <v/>
      </c>
      <c r="B1330" s="568">
        <f t="shared" si="67"/>
        <v>12</v>
      </c>
      <c r="C1330" s="569">
        <f t="shared" si="68"/>
        <v>42719</v>
      </c>
      <c r="D1330" s="552" t="s">
        <v>1020</v>
      </c>
      <c r="E1330" s="589">
        <v>42719</v>
      </c>
      <c r="F1330" s="592" t="s">
        <v>811</v>
      </c>
      <c r="G1330" s="590" t="s">
        <v>882</v>
      </c>
      <c r="H1330" s="555" t="s">
        <v>1073</v>
      </c>
      <c r="I1330" s="132">
        <v>2400</v>
      </c>
      <c r="J1330" s="132">
        <v>6391.2686000887979</v>
      </c>
      <c r="K1330" s="21">
        <f t="shared" si="66"/>
        <v>15339045</v>
      </c>
      <c r="L1330" s="550" t="s">
        <v>166</v>
      </c>
      <c r="M1330" s="550" t="s">
        <v>161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/>
      </c>
      <c r="Z1330" s="563"/>
    </row>
    <row r="1331" spans="1:26" ht="15.75" customHeight="1">
      <c r="A1331" s="120" t="str">
        <f>IF(B1331&lt;&gt;"",IF(AND(B1331&gt;=_TM1,B1331&lt;=_TM2,OR(TH!L1331="1111",TH!M1331="1111")),TH!D1331,""),"")</f>
        <v/>
      </c>
      <c r="B1331" s="568">
        <f t="shared" si="67"/>
        <v>12</v>
      </c>
      <c r="C1331" s="569">
        <f t="shared" si="68"/>
        <v>42720</v>
      </c>
      <c r="D1331" s="552" t="s">
        <v>1020</v>
      </c>
      <c r="E1331" s="589">
        <v>42720</v>
      </c>
      <c r="F1331" s="592" t="s">
        <v>811</v>
      </c>
      <c r="G1331" s="590" t="s">
        <v>883</v>
      </c>
      <c r="H1331" s="555" t="s">
        <v>1073</v>
      </c>
      <c r="I1331" s="131">
        <v>2400</v>
      </c>
      <c r="J1331" s="132">
        <v>6391.2686000887979</v>
      </c>
      <c r="K1331" s="21">
        <f t="shared" si="66"/>
        <v>15339045</v>
      </c>
      <c r="L1331" s="550" t="s">
        <v>166</v>
      </c>
      <c r="M1331" s="550" t="s">
        <v>161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/>
      </c>
      <c r="Z1331" s="563"/>
    </row>
    <row r="1332" spans="1:26" ht="15.75" customHeight="1">
      <c r="A1332" s="120" t="str">
        <f>IF(B1332&lt;&gt;"",IF(AND(B1332&gt;=_TM1,B1332&lt;=_TM2,OR(TH!L1332="1111",TH!M1332="1111")),TH!D1332,""),"")</f>
        <v/>
      </c>
      <c r="B1332" s="568">
        <f t="shared" si="67"/>
        <v>12</v>
      </c>
      <c r="C1332" s="569">
        <f t="shared" si="68"/>
        <v>42721</v>
      </c>
      <c r="D1332" s="552" t="s">
        <v>1020</v>
      </c>
      <c r="E1332" s="589">
        <v>42721</v>
      </c>
      <c r="F1332" s="592" t="s">
        <v>846</v>
      </c>
      <c r="G1332" s="590" t="s">
        <v>845</v>
      </c>
      <c r="H1332" s="555" t="s">
        <v>1073</v>
      </c>
      <c r="I1332" s="131">
        <v>205</v>
      </c>
      <c r="J1332" s="132">
        <v>5173.8841048337899</v>
      </c>
      <c r="K1332" s="21">
        <f t="shared" si="66"/>
        <v>1060646</v>
      </c>
      <c r="L1332" s="550" t="s">
        <v>166</v>
      </c>
      <c r="M1332" s="550" t="s">
        <v>161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/>
      </c>
      <c r="Z1332" s="563"/>
    </row>
    <row r="1333" spans="1:26" ht="15.75" customHeight="1">
      <c r="A1333" s="120" t="str">
        <f>IF(B1333&lt;&gt;"",IF(AND(B1333&gt;=_TM1,B1333&lt;=_TM2,OR(TH!L1333="1111",TH!M1333="1111")),TH!D1333,""),"")</f>
        <v/>
      </c>
      <c r="B1333" s="568">
        <f t="shared" si="67"/>
        <v>12</v>
      </c>
      <c r="C1333" s="569">
        <f t="shared" si="68"/>
        <v>42721</v>
      </c>
      <c r="D1333" s="552" t="s">
        <v>1020</v>
      </c>
      <c r="E1333" s="589">
        <v>42721</v>
      </c>
      <c r="F1333" s="592" t="s">
        <v>847</v>
      </c>
      <c r="G1333" s="590" t="s">
        <v>845</v>
      </c>
      <c r="H1333" s="555" t="s">
        <v>1073</v>
      </c>
      <c r="I1333" s="131">
        <v>1160</v>
      </c>
      <c r="J1333" s="132">
        <v>6695.6147239025513</v>
      </c>
      <c r="K1333" s="21">
        <f t="shared" si="66"/>
        <v>7766913</v>
      </c>
      <c r="L1333" s="550" t="s">
        <v>166</v>
      </c>
      <c r="M1333" s="550" t="s">
        <v>161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/>
      </c>
      <c r="Z1333" s="563"/>
    </row>
    <row r="1334" spans="1:26" ht="15.75" customHeight="1">
      <c r="A1334" s="120" t="str">
        <f>IF(B1334&lt;&gt;"",IF(AND(B1334&gt;=_TM1,B1334&lt;=_TM2,OR(TH!L1334="1111",TH!M1334="1111")),TH!D1334,""),"")</f>
        <v/>
      </c>
      <c r="B1334" s="568">
        <f t="shared" si="67"/>
        <v>12</v>
      </c>
      <c r="C1334" s="569">
        <f t="shared" si="68"/>
        <v>42721</v>
      </c>
      <c r="D1334" s="552" t="s">
        <v>1020</v>
      </c>
      <c r="E1334" s="589">
        <v>42721</v>
      </c>
      <c r="F1334" s="592" t="s">
        <v>849</v>
      </c>
      <c r="G1334" s="590" t="s">
        <v>848</v>
      </c>
      <c r="H1334" s="555" t="s">
        <v>1073</v>
      </c>
      <c r="I1334" s="572">
        <v>292</v>
      </c>
      <c r="J1334" s="572">
        <v>6695.6147239025513</v>
      </c>
      <c r="K1334" s="21">
        <f t="shared" si="66"/>
        <v>1955119</v>
      </c>
      <c r="L1334" s="550" t="s">
        <v>166</v>
      </c>
      <c r="M1334" s="550" t="s">
        <v>161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/>
      </c>
      <c r="Z1334" s="563"/>
    </row>
    <row r="1335" spans="1:26" ht="15.75" customHeight="1">
      <c r="A1335" s="120" t="str">
        <f>IF(B1335&lt;&gt;"",IF(AND(B1335&gt;=_TM1,B1335&lt;=_TM2,OR(TH!L1335="1111",TH!M1335="1111")),TH!D1335,""),"")</f>
        <v/>
      </c>
      <c r="B1335" s="568">
        <f t="shared" si="67"/>
        <v>12</v>
      </c>
      <c r="C1335" s="569">
        <f t="shared" si="68"/>
        <v>42721</v>
      </c>
      <c r="D1335" s="552" t="s">
        <v>1020</v>
      </c>
      <c r="E1335" s="589">
        <v>42721</v>
      </c>
      <c r="F1335" s="592" t="s">
        <v>850</v>
      </c>
      <c r="G1335" s="590" t="s">
        <v>848</v>
      </c>
      <c r="H1335" s="555" t="s">
        <v>1073</v>
      </c>
      <c r="I1335" s="572">
        <v>180</v>
      </c>
      <c r="J1335" s="572">
        <v>5630.4032905544173</v>
      </c>
      <c r="K1335" s="21">
        <f t="shared" si="66"/>
        <v>1013473</v>
      </c>
      <c r="L1335" s="550" t="s">
        <v>166</v>
      </c>
      <c r="M1335" s="550" t="s">
        <v>161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/>
      </c>
      <c r="Z1335" s="563"/>
    </row>
    <row r="1336" spans="1:26" ht="15.75" customHeight="1">
      <c r="A1336" s="120" t="str">
        <f>IF(B1336&lt;&gt;"",IF(AND(B1336&gt;=_TM1,B1336&lt;=_TM2,OR(TH!L1336="1111",TH!M1336="1111")),TH!D1336,""),"")</f>
        <v/>
      </c>
      <c r="B1336" s="568">
        <f t="shared" si="67"/>
        <v>12</v>
      </c>
      <c r="C1336" s="569">
        <f t="shared" si="68"/>
        <v>42721</v>
      </c>
      <c r="D1336" s="552" t="s">
        <v>1020</v>
      </c>
      <c r="E1336" s="589">
        <v>42721</v>
      </c>
      <c r="F1336" s="592" t="s">
        <v>851</v>
      </c>
      <c r="G1336" s="590" t="s">
        <v>848</v>
      </c>
      <c r="H1336" s="555" t="s">
        <v>1073</v>
      </c>
      <c r="I1336" s="572">
        <v>50</v>
      </c>
      <c r="J1336" s="572">
        <v>4565.1918572062841</v>
      </c>
      <c r="K1336" s="21">
        <f t="shared" si="66"/>
        <v>228260</v>
      </c>
      <c r="L1336" s="550" t="s">
        <v>166</v>
      </c>
      <c r="M1336" s="550" t="s">
        <v>161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/>
      </c>
      <c r="Z1336" s="563"/>
    </row>
    <row r="1337" spans="1:26" ht="15.75" customHeight="1">
      <c r="A1337" s="120" t="str">
        <f>IF(B1337&lt;&gt;"",IF(AND(B1337&gt;=_TM1,B1337&lt;=_TM2,OR(TH!L1337="1111",TH!M1337="1111")),TH!D1337,""),"")</f>
        <v/>
      </c>
      <c r="B1337" s="568">
        <f t="shared" ref="B1337:B1392" si="69">IF(C1337&lt;&gt;"",MONTH(C1337),"")</f>
        <v>12</v>
      </c>
      <c r="C1337" s="569">
        <f t="shared" si="68"/>
        <v>42721</v>
      </c>
      <c r="D1337" s="552" t="s">
        <v>1020</v>
      </c>
      <c r="E1337" s="589">
        <v>42721</v>
      </c>
      <c r="F1337" s="592" t="s">
        <v>852</v>
      </c>
      <c r="G1337" s="590" t="s">
        <v>848</v>
      </c>
      <c r="H1337" s="555" t="s">
        <v>1073</v>
      </c>
      <c r="I1337" s="572">
        <v>554</v>
      </c>
      <c r="J1337" s="572">
        <v>8978.2106525056934</v>
      </c>
      <c r="K1337" s="21">
        <f t="shared" si="66"/>
        <v>4973929</v>
      </c>
      <c r="L1337" s="550" t="s">
        <v>166</v>
      </c>
      <c r="M1337" s="550" t="s">
        <v>161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/>
      </c>
      <c r="Z1337" s="563"/>
    </row>
    <row r="1338" spans="1:26" ht="15.75" customHeight="1">
      <c r="A1338" s="120" t="str">
        <f>IF(B1338&lt;&gt;"",IF(AND(B1338&gt;=_TM1,B1338&lt;=_TM2,OR(TH!L1338="1111",TH!M1338="1111")),TH!D1338,""),"")</f>
        <v/>
      </c>
      <c r="B1338" s="568">
        <f t="shared" si="69"/>
        <v>12</v>
      </c>
      <c r="C1338" s="569">
        <f t="shared" si="68"/>
        <v>42721</v>
      </c>
      <c r="D1338" s="552" t="s">
        <v>1020</v>
      </c>
      <c r="E1338" s="589">
        <v>42721</v>
      </c>
      <c r="F1338" s="592" t="s">
        <v>855</v>
      </c>
      <c r="G1338" s="590" t="s">
        <v>853</v>
      </c>
      <c r="H1338" s="555" t="s">
        <v>1073</v>
      </c>
      <c r="I1338" s="131">
        <v>584</v>
      </c>
      <c r="J1338" s="131">
        <v>684.77877858094269</v>
      </c>
      <c r="K1338" s="21">
        <f t="shared" si="66"/>
        <v>399911</v>
      </c>
      <c r="L1338" s="550" t="s">
        <v>166</v>
      </c>
      <c r="M1338" s="550" t="s">
        <v>161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/>
      </c>
      <c r="Z1338" s="563"/>
    </row>
    <row r="1339" spans="1:26" ht="15.75" customHeight="1">
      <c r="A1339" s="120" t="str">
        <f>IF(B1339&lt;&gt;"",IF(AND(B1339&gt;=_TM1,B1339&lt;=_TM2,OR(TH!L1339="1111",TH!M1339="1111")),TH!D1339,""),"")</f>
        <v/>
      </c>
      <c r="B1339" s="568">
        <f t="shared" si="69"/>
        <v>12</v>
      </c>
      <c r="C1339" s="569">
        <f t="shared" si="68"/>
        <v>42721</v>
      </c>
      <c r="D1339" s="552" t="s">
        <v>1020</v>
      </c>
      <c r="E1339" s="589">
        <v>42721</v>
      </c>
      <c r="F1339" s="592" t="s">
        <v>856</v>
      </c>
      <c r="G1339" s="590" t="s">
        <v>853</v>
      </c>
      <c r="H1339" s="555" t="s">
        <v>1073</v>
      </c>
      <c r="I1339" s="131">
        <v>360</v>
      </c>
      <c r="J1339" s="131">
        <v>608.69224762750468</v>
      </c>
      <c r="K1339" s="21">
        <f t="shared" si="66"/>
        <v>219129</v>
      </c>
      <c r="L1339" s="550" t="s">
        <v>166</v>
      </c>
      <c r="M1339" s="550" t="s">
        <v>161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/>
      </c>
      <c r="Z1339" s="563"/>
    </row>
    <row r="1340" spans="1:26" ht="15.75" customHeight="1">
      <c r="A1340" s="120" t="str">
        <f>IF(B1340&lt;&gt;"",IF(AND(B1340&gt;=_TM1,B1340&lt;=_TM2,OR(TH!L1340="1111",TH!M1340="1111")),TH!D1340,""),"")</f>
        <v/>
      </c>
      <c r="B1340" s="568">
        <f t="shared" si="69"/>
        <v>12</v>
      </c>
      <c r="C1340" s="569">
        <f t="shared" si="68"/>
        <v>42721</v>
      </c>
      <c r="D1340" s="552" t="s">
        <v>1020</v>
      </c>
      <c r="E1340" s="589">
        <v>42721</v>
      </c>
      <c r="F1340" s="592" t="s">
        <v>857</v>
      </c>
      <c r="G1340" s="590" t="s">
        <v>853</v>
      </c>
      <c r="H1340" s="555" t="s">
        <v>1073</v>
      </c>
      <c r="I1340" s="131">
        <v>100</v>
      </c>
      <c r="J1340" s="131">
        <v>456.51918572062846</v>
      </c>
      <c r="K1340" s="21">
        <f t="shared" si="66"/>
        <v>45652</v>
      </c>
      <c r="L1340" s="550" t="s">
        <v>166</v>
      </c>
      <c r="M1340" s="550" t="s">
        <v>161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/>
      </c>
      <c r="Z1340" s="563"/>
    </row>
    <row r="1341" spans="1:26" ht="15.75" customHeight="1">
      <c r="A1341" s="120" t="str">
        <f>IF(B1341&lt;&gt;"",IF(AND(B1341&gt;=_TM1,B1341&lt;=_TM2,OR(TH!L1341="1111",TH!M1341="1111")),TH!D1341,""),"")</f>
        <v/>
      </c>
      <c r="B1341" s="568">
        <f t="shared" si="69"/>
        <v>12</v>
      </c>
      <c r="C1341" s="569">
        <f t="shared" si="68"/>
        <v>42721</v>
      </c>
      <c r="D1341" s="552" t="s">
        <v>1020</v>
      </c>
      <c r="E1341" s="589">
        <v>42721</v>
      </c>
      <c r="F1341" s="592" t="s">
        <v>858</v>
      </c>
      <c r="G1341" s="590" t="s">
        <v>853</v>
      </c>
      <c r="H1341" s="555" t="s">
        <v>1073</v>
      </c>
      <c r="I1341" s="131">
        <v>1108</v>
      </c>
      <c r="J1341" s="131">
        <v>989.12490239469503</v>
      </c>
      <c r="K1341" s="21">
        <f t="shared" si="66"/>
        <v>1095950</v>
      </c>
      <c r="L1341" s="550" t="s">
        <v>166</v>
      </c>
      <c r="M1341" s="550" t="s">
        <v>161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/>
      </c>
      <c r="Z1341" s="563"/>
    </row>
    <row r="1342" spans="1:26" ht="15.75" customHeight="1">
      <c r="A1342" s="120" t="str">
        <f>IF(B1342&lt;&gt;"",IF(AND(B1342&gt;=_TM1,B1342&lt;=_TM2,OR(TH!L1342="1111",TH!M1342="1111")),TH!D1342,""),"")</f>
        <v/>
      </c>
      <c r="B1342" s="568">
        <f t="shared" si="69"/>
        <v>12</v>
      </c>
      <c r="C1342" s="569">
        <f t="shared" si="68"/>
        <v>42721</v>
      </c>
      <c r="D1342" s="552" t="s">
        <v>1020</v>
      </c>
      <c r="E1342" s="589">
        <v>42721</v>
      </c>
      <c r="F1342" s="592" t="s">
        <v>811</v>
      </c>
      <c r="G1342" s="590" t="s">
        <v>884</v>
      </c>
      <c r="H1342" s="555" t="s">
        <v>1073</v>
      </c>
      <c r="I1342" s="131">
        <v>2400</v>
      </c>
      <c r="J1342" s="131">
        <v>6391.2686000887979</v>
      </c>
      <c r="K1342" s="21">
        <f t="shared" si="66"/>
        <v>15339045</v>
      </c>
      <c r="L1342" s="550" t="s">
        <v>166</v>
      </c>
      <c r="M1342" s="550" t="s">
        <v>161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/>
      </c>
      <c r="Z1342" s="563"/>
    </row>
    <row r="1343" spans="1:26" ht="15.75" customHeight="1">
      <c r="A1343" s="120" t="str">
        <f>IF(B1343&lt;&gt;"",IF(AND(B1343&gt;=_TM1,B1343&lt;=_TM2,OR(TH!L1343="1111",TH!M1343="1111")),TH!D1343,""),"")</f>
        <v/>
      </c>
      <c r="B1343" s="568">
        <f t="shared" si="69"/>
        <v>12</v>
      </c>
      <c r="C1343" s="569">
        <f t="shared" si="68"/>
        <v>42722</v>
      </c>
      <c r="D1343" s="552" t="s">
        <v>1020</v>
      </c>
      <c r="E1343" s="589">
        <v>42722</v>
      </c>
      <c r="F1343" s="592" t="s">
        <v>811</v>
      </c>
      <c r="G1343" s="590" t="s">
        <v>885</v>
      </c>
      <c r="H1343" s="555" t="s">
        <v>1073</v>
      </c>
      <c r="I1343" s="131">
        <v>2400</v>
      </c>
      <c r="J1343" s="131">
        <v>6391.2686000887979</v>
      </c>
      <c r="K1343" s="21">
        <f t="shared" si="66"/>
        <v>15339045</v>
      </c>
      <c r="L1343" s="550" t="s">
        <v>166</v>
      </c>
      <c r="M1343" s="550" t="s">
        <v>161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/>
      </c>
      <c r="Z1343" s="563"/>
    </row>
    <row r="1344" spans="1:26" ht="15.75" customHeight="1">
      <c r="A1344" s="120" t="str">
        <f>IF(B1344&lt;&gt;"",IF(AND(B1344&gt;=_TM1,B1344&lt;=_TM2,OR(TH!L1344="1111",TH!M1344="1111")),TH!D1344,""),"")</f>
        <v/>
      </c>
      <c r="B1344" s="568">
        <f t="shared" si="69"/>
        <v>12</v>
      </c>
      <c r="C1344" s="569">
        <f t="shared" si="68"/>
        <v>42723</v>
      </c>
      <c r="D1344" s="552" t="s">
        <v>1020</v>
      </c>
      <c r="E1344" s="589">
        <v>42723</v>
      </c>
      <c r="F1344" s="592" t="s">
        <v>811</v>
      </c>
      <c r="G1344" s="590" t="s">
        <v>886</v>
      </c>
      <c r="H1344" s="555" t="s">
        <v>1073</v>
      </c>
      <c r="I1344" s="131">
        <v>2400</v>
      </c>
      <c r="J1344" s="131">
        <v>6391.2686000887979</v>
      </c>
      <c r="K1344" s="21">
        <f t="shared" si="66"/>
        <v>15339045</v>
      </c>
      <c r="L1344" s="550" t="s">
        <v>166</v>
      </c>
      <c r="M1344" s="550" t="s">
        <v>161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/>
      </c>
      <c r="Z1344" s="563"/>
    </row>
    <row r="1345" spans="1:26" ht="15.75" customHeight="1">
      <c r="A1345" s="120" t="str">
        <f>IF(B1345&lt;&gt;"",IF(AND(B1345&gt;=_TM1,B1345&lt;=_TM2,OR(TH!L1345="1111",TH!M1345="1111")),TH!D1345,""),"")</f>
        <v/>
      </c>
      <c r="B1345" s="568">
        <f t="shared" si="69"/>
        <v>12</v>
      </c>
      <c r="C1345" s="569">
        <f t="shared" si="68"/>
        <v>42724</v>
      </c>
      <c r="D1345" s="552" t="s">
        <v>1020</v>
      </c>
      <c r="E1345" s="589">
        <v>42724</v>
      </c>
      <c r="F1345" s="592" t="s">
        <v>689</v>
      </c>
      <c r="G1345" s="590" t="s">
        <v>887</v>
      </c>
      <c r="H1345" s="555" t="s">
        <v>1073</v>
      </c>
      <c r="I1345" s="131">
        <v>872</v>
      </c>
      <c r="J1345" s="131">
        <v>5173.8841048337899</v>
      </c>
      <c r="K1345" s="21">
        <f t="shared" si="66"/>
        <v>4511627</v>
      </c>
      <c r="L1345" s="550" t="s">
        <v>166</v>
      </c>
      <c r="M1345" s="550" t="s">
        <v>161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/>
      </c>
      <c r="Z1345" s="563"/>
    </row>
    <row r="1346" spans="1:26" ht="15.75" customHeight="1">
      <c r="A1346" s="120" t="str">
        <f>IF(B1346&lt;&gt;"",IF(AND(B1346&gt;=_TM1,B1346&lt;=_TM2,OR(TH!L1346="1111",TH!M1346="1111")),TH!D1346,""),"")</f>
        <v/>
      </c>
      <c r="B1346" s="568">
        <f t="shared" si="69"/>
        <v>12</v>
      </c>
      <c r="C1346" s="569">
        <f t="shared" si="68"/>
        <v>42724</v>
      </c>
      <c r="D1346" s="552" t="s">
        <v>1020</v>
      </c>
      <c r="E1346" s="589">
        <v>42724</v>
      </c>
      <c r="F1346" s="592" t="s">
        <v>891</v>
      </c>
      <c r="G1346" s="590" t="s">
        <v>890</v>
      </c>
      <c r="H1346" s="555" t="s">
        <v>1073</v>
      </c>
      <c r="I1346" s="131">
        <v>70</v>
      </c>
      <c r="J1346" s="131">
        <v>16358.604154989185</v>
      </c>
      <c r="K1346" s="21">
        <f t="shared" si="66"/>
        <v>1145102</v>
      </c>
      <c r="L1346" s="550" t="s">
        <v>166</v>
      </c>
      <c r="M1346" s="550" t="s">
        <v>161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/>
      </c>
      <c r="Z1346" s="563"/>
    </row>
    <row r="1347" spans="1:26" ht="15.75" customHeight="1">
      <c r="A1347" s="120" t="str">
        <f>IF(B1347&lt;&gt;"",IF(AND(B1347&gt;=_TM1,B1347&lt;=_TM2,OR(TH!L1347="1111",TH!M1347="1111")),TH!D1347,""),"")</f>
        <v/>
      </c>
      <c r="B1347" s="568">
        <f t="shared" si="69"/>
        <v>12</v>
      </c>
      <c r="C1347" s="569">
        <f t="shared" si="68"/>
        <v>42724</v>
      </c>
      <c r="D1347" s="552" t="s">
        <v>1020</v>
      </c>
      <c r="E1347" s="589">
        <v>42724</v>
      </c>
      <c r="F1347" s="592" t="s">
        <v>894</v>
      </c>
      <c r="G1347" s="590" t="s">
        <v>893</v>
      </c>
      <c r="H1347" s="555" t="s">
        <v>1073</v>
      </c>
      <c r="I1347" s="131">
        <v>126</v>
      </c>
      <c r="J1347" s="131">
        <v>13086.883323991349</v>
      </c>
      <c r="K1347" s="21">
        <f t="shared" si="66"/>
        <v>1648947</v>
      </c>
      <c r="L1347" s="550" t="s">
        <v>166</v>
      </c>
      <c r="M1347" s="550" t="s">
        <v>161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/>
      </c>
      <c r="Z1347" s="563"/>
    </row>
    <row r="1348" spans="1:26" ht="15.75" customHeight="1">
      <c r="A1348" s="120" t="str">
        <f>IF(B1348&lt;&gt;"",IF(AND(B1348&gt;=_TM1,B1348&lt;=_TM2,OR(TH!L1348="1111",TH!M1348="1111")),TH!D1348,""),"")</f>
        <v/>
      </c>
      <c r="B1348" s="568">
        <f t="shared" si="69"/>
        <v>12</v>
      </c>
      <c r="C1348" s="569">
        <f t="shared" si="68"/>
        <v>42724</v>
      </c>
      <c r="D1348" s="552" t="s">
        <v>1020</v>
      </c>
      <c r="E1348" s="589">
        <v>42724</v>
      </c>
      <c r="F1348" s="592" t="s">
        <v>895</v>
      </c>
      <c r="G1348" s="590" t="s">
        <v>893</v>
      </c>
      <c r="H1348" s="555" t="s">
        <v>1073</v>
      </c>
      <c r="I1348" s="572">
        <v>126</v>
      </c>
      <c r="J1348" s="572">
        <v>684.77877858094269</v>
      </c>
      <c r="K1348" s="21">
        <f t="shared" si="66"/>
        <v>86282</v>
      </c>
      <c r="L1348" s="550" t="s">
        <v>166</v>
      </c>
      <c r="M1348" s="550" t="s">
        <v>161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/>
      </c>
      <c r="Z1348" s="563"/>
    </row>
    <row r="1349" spans="1:26" ht="15.75" customHeight="1">
      <c r="A1349" s="120" t="str">
        <f>IF(B1349&lt;&gt;"",IF(AND(B1349&gt;=_TM1,B1349&lt;=_TM2,OR(TH!L1349="1111",TH!M1349="1111")),TH!D1349,""),"")</f>
        <v/>
      </c>
      <c r="B1349" s="568">
        <f t="shared" si="69"/>
        <v>12</v>
      </c>
      <c r="C1349" s="569">
        <f t="shared" si="68"/>
        <v>42724</v>
      </c>
      <c r="D1349" s="552" t="s">
        <v>1020</v>
      </c>
      <c r="E1349" s="589">
        <v>42724</v>
      </c>
      <c r="F1349" s="592" t="s">
        <v>811</v>
      </c>
      <c r="G1349" s="590" t="s">
        <v>897</v>
      </c>
      <c r="H1349" s="555" t="s">
        <v>1073</v>
      </c>
      <c r="I1349" s="131">
        <v>2400</v>
      </c>
      <c r="J1349" s="131">
        <v>6391.2686000887979</v>
      </c>
      <c r="K1349" s="21">
        <f t="shared" si="66"/>
        <v>15339045</v>
      </c>
      <c r="L1349" s="550" t="s">
        <v>166</v>
      </c>
      <c r="M1349" s="550" t="s">
        <v>161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/>
      </c>
      <c r="Z1349" s="563"/>
    </row>
    <row r="1350" spans="1:26" ht="15.75" customHeight="1">
      <c r="A1350" s="120" t="str">
        <f>IF(B1350&lt;&gt;"",IF(AND(B1350&gt;=_TM1,B1350&lt;=_TM2,OR(TH!L1350="1111",TH!M1350="1111")),TH!D1350,""),"")</f>
        <v/>
      </c>
      <c r="B1350" s="568">
        <f t="shared" si="69"/>
        <v>12</v>
      </c>
      <c r="C1350" s="569">
        <f t="shared" si="68"/>
        <v>42725</v>
      </c>
      <c r="D1350" s="552" t="s">
        <v>1020</v>
      </c>
      <c r="E1350" s="589">
        <v>42725</v>
      </c>
      <c r="F1350" s="592" t="s">
        <v>811</v>
      </c>
      <c r="G1350" s="590" t="s">
        <v>898</v>
      </c>
      <c r="H1350" s="555" t="s">
        <v>1073</v>
      </c>
      <c r="I1350" s="131">
        <v>2400</v>
      </c>
      <c r="J1350" s="131">
        <v>6391.2686000887979</v>
      </c>
      <c r="K1350" s="21">
        <f t="shared" si="66"/>
        <v>15339045</v>
      </c>
      <c r="L1350" s="550" t="s">
        <v>166</v>
      </c>
      <c r="M1350" s="550" t="s">
        <v>161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/>
      </c>
      <c r="Z1350" s="563"/>
    </row>
    <row r="1351" spans="1:26" ht="15.75" customHeight="1">
      <c r="A1351" s="120" t="str">
        <f>IF(B1351&lt;&gt;"",IF(AND(B1351&gt;=_TM1,B1351&lt;=_TM2,OR(TH!L1351="1111",TH!M1351="1111")),TH!D1351,""),"")</f>
        <v/>
      </c>
      <c r="B1351" s="568">
        <f t="shared" si="69"/>
        <v>12</v>
      </c>
      <c r="C1351" s="569">
        <f t="shared" si="68"/>
        <v>42726</v>
      </c>
      <c r="D1351" s="552" t="s">
        <v>1020</v>
      </c>
      <c r="E1351" s="589">
        <v>42726</v>
      </c>
      <c r="F1351" s="592" t="s">
        <v>900</v>
      </c>
      <c r="G1351" s="590" t="s">
        <v>899</v>
      </c>
      <c r="H1351" s="555" t="s">
        <v>1073</v>
      </c>
      <c r="I1351" s="572">
        <v>285</v>
      </c>
      <c r="J1351" s="572">
        <v>9891.2490239469498</v>
      </c>
      <c r="K1351" s="21">
        <f t="shared" si="66"/>
        <v>2819006</v>
      </c>
      <c r="L1351" s="550" t="s">
        <v>166</v>
      </c>
      <c r="M1351" s="550" t="s">
        <v>161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/>
      </c>
      <c r="Z1351" s="563"/>
    </row>
    <row r="1352" spans="1:26" ht="15.75" customHeight="1">
      <c r="A1352" s="120" t="str">
        <f>IF(B1352&lt;&gt;"",IF(AND(B1352&gt;=_TM1,B1352&lt;=_TM2,OR(TH!L1352="1111",TH!M1352="1111")),TH!D1352,""),"")</f>
        <v/>
      </c>
      <c r="B1352" s="568">
        <f t="shared" si="69"/>
        <v>12</v>
      </c>
      <c r="C1352" s="569">
        <f t="shared" si="68"/>
        <v>42726</v>
      </c>
      <c r="D1352" s="552" t="s">
        <v>1020</v>
      </c>
      <c r="E1352" s="589">
        <v>42726</v>
      </c>
      <c r="F1352" s="592" t="s">
        <v>901</v>
      </c>
      <c r="G1352" s="590" t="s">
        <v>899</v>
      </c>
      <c r="H1352" s="555" t="s">
        <v>1073</v>
      </c>
      <c r="I1352" s="131">
        <v>110</v>
      </c>
      <c r="J1352" s="131">
        <v>9434.7298382263216</v>
      </c>
      <c r="K1352" s="21">
        <f t="shared" si="66"/>
        <v>1037820</v>
      </c>
      <c r="L1352" s="550" t="s">
        <v>166</v>
      </c>
      <c r="M1352" s="550" t="s">
        <v>161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/>
      </c>
      <c r="Z1352" s="563"/>
    </row>
    <row r="1353" spans="1:26" ht="15.75" customHeight="1">
      <c r="A1353" s="120" t="str">
        <f>IF(B1353&lt;&gt;"",IF(AND(B1353&gt;=_TM1,B1353&lt;=_TM2,OR(TH!L1353="1111",TH!M1353="1111")),TH!D1353,""),"")</f>
        <v/>
      </c>
      <c r="B1353" s="568">
        <f t="shared" si="69"/>
        <v>12</v>
      </c>
      <c r="C1353" s="569">
        <f t="shared" si="68"/>
        <v>42726</v>
      </c>
      <c r="D1353" s="552" t="s">
        <v>1020</v>
      </c>
      <c r="E1353" s="589">
        <v>42726</v>
      </c>
      <c r="F1353" s="592" t="s">
        <v>902</v>
      </c>
      <c r="G1353" s="590" t="s">
        <v>899</v>
      </c>
      <c r="H1353" s="555" t="s">
        <v>1073</v>
      </c>
      <c r="I1353" s="572">
        <v>160</v>
      </c>
      <c r="J1353" s="572">
        <v>9739.075962040075</v>
      </c>
      <c r="K1353" s="21">
        <f t="shared" si="66"/>
        <v>1558252</v>
      </c>
      <c r="L1353" s="550" t="s">
        <v>166</v>
      </c>
      <c r="M1353" s="550" t="s">
        <v>161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/>
      </c>
      <c r="Z1353" s="563"/>
    </row>
    <row r="1354" spans="1:26" ht="15.75" customHeight="1">
      <c r="A1354" s="120" t="str">
        <f>IF(B1354&lt;&gt;"",IF(AND(B1354&gt;=_TM1,B1354&lt;=_TM2,OR(TH!L1354="1111",TH!M1354="1111")),TH!D1354,""),"")</f>
        <v/>
      </c>
      <c r="B1354" s="568">
        <f t="shared" si="69"/>
        <v>12</v>
      </c>
      <c r="C1354" s="569">
        <f t="shared" si="68"/>
        <v>42726</v>
      </c>
      <c r="D1354" s="552" t="s">
        <v>1020</v>
      </c>
      <c r="E1354" s="589">
        <v>42726</v>
      </c>
      <c r="F1354" s="592" t="s">
        <v>499</v>
      </c>
      <c r="G1354" s="590" t="s">
        <v>899</v>
      </c>
      <c r="H1354" s="555" t="s">
        <v>1073</v>
      </c>
      <c r="I1354" s="131">
        <v>550</v>
      </c>
      <c r="J1354" s="131">
        <v>10195.595147760703</v>
      </c>
      <c r="K1354" s="21">
        <f t="shared" si="66"/>
        <v>5607577</v>
      </c>
      <c r="L1354" s="550" t="s">
        <v>166</v>
      </c>
      <c r="M1354" s="550" t="s">
        <v>161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/>
      </c>
      <c r="Z1354" s="563"/>
    </row>
    <row r="1355" spans="1:26" ht="15.75" customHeight="1">
      <c r="A1355" s="120" t="str">
        <f>IF(B1355&lt;&gt;"",IF(AND(B1355&gt;=_TM1,B1355&lt;=_TM2,OR(TH!L1355="1111",TH!M1355="1111")),TH!D1355,""),"")</f>
        <v/>
      </c>
      <c r="B1355" s="568">
        <f t="shared" si="69"/>
        <v>12</v>
      </c>
      <c r="C1355" s="569">
        <f t="shared" si="68"/>
        <v>42726</v>
      </c>
      <c r="D1355" s="552" t="s">
        <v>1020</v>
      </c>
      <c r="E1355" s="589">
        <v>42726</v>
      </c>
      <c r="F1355" s="592" t="s">
        <v>904</v>
      </c>
      <c r="G1355" s="590" t="s">
        <v>903</v>
      </c>
      <c r="H1355" s="555" t="s">
        <v>1073</v>
      </c>
      <c r="I1355" s="131">
        <v>275</v>
      </c>
      <c r="J1355" s="131">
        <v>12630.364138270721</v>
      </c>
      <c r="K1355" s="21">
        <f t="shared" si="66"/>
        <v>3473350</v>
      </c>
      <c r="L1355" s="550" t="s">
        <v>166</v>
      </c>
      <c r="M1355" s="550" t="s">
        <v>161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/>
      </c>
      <c r="Z1355" s="563"/>
    </row>
    <row r="1356" spans="1:26" ht="15.75" customHeight="1">
      <c r="A1356" s="120" t="str">
        <f>IF(B1356&lt;&gt;"",IF(AND(B1356&gt;=_TM1,B1356&lt;=_TM2,OR(TH!L1356="1111",TH!M1356="1111")),TH!D1356,""),"")</f>
        <v/>
      </c>
      <c r="B1356" s="568">
        <f t="shared" si="69"/>
        <v>12</v>
      </c>
      <c r="C1356" s="569">
        <f t="shared" si="68"/>
        <v>42726</v>
      </c>
      <c r="D1356" s="552" t="s">
        <v>1020</v>
      </c>
      <c r="E1356" s="589">
        <v>42726</v>
      </c>
      <c r="F1356" s="592" t="s">
        <v>905</v>
      </c>
      <c r="G1356" s="590" t="s">
        <v>903</v>
      </c>
      <c r="H1356" s="555" t="s">
        <v>1073</v>
      </c>
      <c r="I1356" s="131">
        <v>66</v>
      </c>
      <c r="J1356" s="131">
        <v>10728.200864434768</v>
      </c>
      <c r="K1356" s="21">
        <f t="shared" si="66"/>
        <v>708061</v>
      </c>
      <c r="L1356" s="550" t="s">
        <v>166</v>
      </c>
      <c r="M1356" s="550" t="s">
        <v>161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/>
      </c>
      <c r="Z1356" s="563"/>
    </row>
    <row r="1357" spans="1:26" ht="15.75" customHeight="1">
      <c r="A1357" s="120" t="str">
        <f>IF(B1357&lt;&gt;"",IF(AND(B1357&gt;=_TM1,B1357&lt;=_TM2,OR(TH!L1357="1111",TH!M1357="1111")),TH!D1357,""),"")</f>
        <v/>
      </c>
      <c r="B1357" s="568">
        <f t="shared" si="69"/>
        <v>12</v>
      </c>
      <c r="C1357" s="569">
        <f t="shared" si="68"/>
        <v>42726</v>
      </c>
      <c r="D1357" s="552" t="s">
        <v>1020</v>
      </c>
      <c r="E1357" s="589">
        <v>42726</v>
      </c>
      <c r="F1357" s="592" t="s">
        <v>499</v>
      </c>
      <c r="G1357" s="590" t="s">
        <v>903</v>
      </c>
      <c r="H1357" s="555" t="s">
        <v>1073</v>
      </c>
      <c r="I1357" s="131">
        <v>165</v>
      </c>
      <c r="J1357" s="131">
        <v>10195.595147760703</v>
      </c>
      <c r="K1357" s="21">
        <f t="shared" si="66"/>
        <v>1682273</v>
      </c>
      <c r="L1357" s="550" t="s">
        <v>166</v>
      </c>
      <c r="M1357" s="550" t="s">
        <v>161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/>
      </c>
      <c r="Z1357" s="563"/>
    </row>
    <row r="1358" spans="1:26" ht="15.75" customHeight="1">
      <c r="A1358" s="120" t="str">
        <f>IF(B1358&lt;&gt;"",IF(AND(B1358&gt;=_TM1,B1358&lt;=_TM2,OR(TH!L1358="1111",TH!M1358="1111")),TH!D1358,""),"")</f>
        <v/>
      </c>
      <c r="B1358" s="568">
        <f t="shared" si="69"/>
        <v>12</v>
      </c>
      <c r="C1358" s="569">
        <f t="shared" si="68"/>
        <v>42726</v>
      </c>
      <c r="D1358" s="552" t="s">
        <v>1020</v>
      </c>
      <c r="E1358" s="589">
        <v>42726</v>
      </c>
      <c r="F1358" s="592" t="s">
        <v>507</v>
      </c>
      <c r="G1358" s="590" t="s">
        <v>903</v>
      </c>
      <c r="H1358" s="555" t="s">
        <v>1073</v>
      </c>
      <c r="I1358" s="131">
        <v>550</v>
      </c>
      <c r="J1358" s="131">
        <v>1521.7306190687616</v>
      </c>
      <c r="K1358" s="21">
        <f t="shared" si="66"/>
        <v>836952</v>
      </c>
      <c r="L1358" s="550" t="s">
        <v>166</v>
      </c>
      <c r="M1358" s="550" t="s">
        <v>161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/>
      </c>
      <c r="Z1358" s="563"/>
    </row>
    <row r="1359" spans="1:26" ht="15.75" customHeight="1">
      <c r="A1359" s="120" t="str">
        <f>IF(B1359&lt;&gt;"",IF(AND(B1359&gt;=_TM1,B1359&lt;=_TM2,OR(TH!L1359="1111",TH!M1359="1111")),TH!D1359,""),"")</f>
        <v/>
      </c>
      <c r="B1359" s="568">
        <f t="shared" si="69"/>
        <v>12</v>
      </c>
      <c r="C1359" s="569">
        <f t="shared" si="68"/>
        <v>42726</v>
      </c>
      <c r="D1359" s="552" t="s">
        <v>1020</v>
      </c>
      <c r="E1359" s="589">
        <v>42726</v>
      </c>
      <c r="F1359" s="592" t="s">
        <v>906</v>
      </c>
      <c r="G1359" s="590" t="s">
        <v>903</v>
      </c>
      <c r="H1359" s="555" t="s">
        <v>1073</v>
      </c>
      <c r="I1359" s="131">
        <v>132</v>
      </c>
      <c r="J1359" s="131">
        <v>1369.5575571618854</v>
      </c>
      <c r="K1359" s="21">
        <f t="shared" si="66"/>
        <v>180782</v>
      </c>
      <c r="L1359" s="550" t="s">
        <v>166</v>
      </c>
      <c r="M1359" s="550" t="s">
        <v>161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/>
      </c>
      <c r="Z1359" s="563"/>
    </row>
    <row r="1360" spans="1:26" ht="15.75" customHeight="1">
      <c r="A1360" s="120" t="str">
        <f>IF(B1360&lt;&gt;"",IF(AND(B1360&gt;=_TM1,B1360&lt;=_TM2,OR(TH!L1360="1111",TH!M1360="1111")),TH!D1360,""),"")</f>
        <v/>
      </c>
      <c r="B1360" s="568">
        <f t="shared" si="69"/>
        <v>12</v>
      </c>
      <c r="C1360" s="569">
        <f t="shared" si="68"/>
        <v>42726</v>
      </c>
      <c r="D1360" s="552" t="s">
        <v>1020</v>
      </c>
      <c r="E1360" s="589">
        <v>42726</v>
      </c>
      <c r="F1360" s="592" t="s">
        <v>498</v>
      </c>
      <c r="G1360" s="590" t="s">
        <v>907</v>
      </c>
      <c r="H1360" s="555" t="s">
        <v>1073</v>
      </c>
      <c r="I1360" s="131">
        <v>571</v>
      </c>
      <c r="J1360" s="131">
        <v>9739.075962040075</v>
      </c>
      <c r="K1360" s="21">
        <f t="shared" si="66"/>
        <v>5561012</v>
      </c>
      <c r="L1360" s="550" t="s">
        <v>166</v>
      </c>
      <c r="M1360" s="550" t="s">
        <v>161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/>
      </c>
      <c r="Z1360" s="563"/>
    </row>
    <row r="1361" spans="1:26" ht="15.75" customHeight="1">
      <c r="A1361" s="120" t="str">
        <f>IF(B1361&lt;&gt;"",IF(AND(B1361&gt;=_TM1,B1361&lt;=_TM2,OR(TH!L1361="1111",TH!M1361="1111")),TH!D1361,""),"")</f>
        <v/>
      </c>
      <c r="B1361" s="568">
        <f t="shared" si="69"/>
        <v>12</v>
      </c>
      <c r="C1361" s="569">
        <f t="shared" si="68"/>
        <v>42726</v>
      </c>
      <c r="D1361" s="552" t="s">
        <v>1020</v>
      </c>
      <c r="E1361" s="589">
        <v>42726</v>
      </c>
      <c r="F1361" s="592" t="s">
        <v>498</v>
      </c>
      <c r="G1361" s="590" t="s">
        <v>908</v>
      </c>
      <c r="H1361" s="555" t="s">
        <v>1073</v>
      </c>
      <c r="I1361" s="132">
        <v>633</v>
      </c>
      <c r="J1361" s="131">
        <v>9739.075962040075</v>
      </c>
      <c r="K1361" s="21">
        <f t="shared" si="66"/>
        <v>6164835</v>
      </c>
      <c r="L1361" s="550" t="s">
        <v>166</v>
      </c>
      <c r="M1361" s="550" t="s">
        <v>161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/>
      </c>
      <c r="Z1361" s="563"/>
    </row>
    <row r="1362" spans="1:26" ht="15.75" customHeight="1">
      <c r="A1362" s="120" t="str">
        <f>IF(B1362&lt;&gt;"",IF(AND(B1362&gt;=_TM1,B1362&lt;=_TM2,OR(TH!L1362="1111",TH!M1362="1111")),TH!D1362,""),"")</f>
        <v/>
      </c>
      <c r="B1362" s="568">
        <f t="shared" si="69"/>
        <v>12</v>
      </c>
      <c r="C1362" s="569">
        <f t="shared" si="68"/>
        <v>42726</v>
      </c>
      <c r="D1362" s="552" t="s">
        <v>1020</v>
      </c>
      <c r="E1362" s="589">
        <v>42726</v>
      </c>
      <c r="F1362" s="592" t="s">
        <v>527</v>
      </c>
      <c r="G1362" s="590" t="s">
        <v>909</v>
      </c>
      <c r="H1362" s="555" t="s">
        <v>1073</v>
      </c>
      <c r="I1362" s="131">
        <v>288</v>
      </c>
      <c r="J1362" s="131">
        <v>55162.734941242605</v>
      </c>
      <c r="K1362" s="21">
        <f t="shared" si="66"/>
        <v>15886868</v>
      </c>
      <c r="L1362" s="550" t="s">
        <v>166</v>
      </c>
      <c r="M1362" s="550" t="s">
        <v>161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/>
      </c>
      <c r="Z1362" s="563"/>
    </row>
    <row r="1363" spans="1:26" ht="15.75" customHeight="1">
      <c r="A1363" s="120" t="str">
        <f>IF(B1363&lt;&gt;"",IF(AND(B1363&gt;=_TM1,B1363&lt;=_TM2,OR(TH!L1363="1111",TH!M1363="1111")),TH!D1363,""),"")</f>
        <v/>
      </c>
      <c r="B1363" s="568">
        <f t="shared" si="69"/>
        <v>12</v>
      </c>
      <c r="C1363" s="569">
        <f t="shared" si="68"/>
        <v>42726</v>
      </c>
      <c r="D1363" s="552" t="s">
        <v>1020</v>
      </c>
      <c r="E1363" s="589">
        <v>42726</v>
      </c>
      <c r="F1363" s="592" t="s">
        <v>910</v>
      </c>
      <c r="G1363" s="590" t="s">
        <v>909</v>
      </c>
      <c r="H1363" s="555" t="s">
        <v>1073</v>
      </c>
      <c r="I1363" s="131">
        <v>24</v>
      </c>
      <c r="J1363" s="131">
        <v>39717.169157694676</v>
      </c>
      <c r="K1363" s="21">
        <f t="shared" si="66"/>
        <v>953212</v>
      </c>
      <c r="L1363" s="550" t="s">
        <v>166</v>
      </c>
      <c r="M1363" s="550" t="s">
        <v>161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/>
      </c>
      <c r="Z1363" s="563"/>
    </row>
    <row r="1364" spans="1:26" ht="15.75" customHeight="1">
      <c r="A1364" s="120" t="str">
        <f>IF(B1364&lt;&gt;"",IF(AND(B1364&gt;=_TM1,B1364&lt;=_TM2,OR(TH!L1364="1111",TH!M1364="1111")),TH!D1364,""),"")</f>
        <v/>
      </c>
      <c r="B1364" s="568">
        <f t="shared" si="69"/>
        <v>12</v>
      </c>
      <c r="C1364" s="569">
        <f t="shared" si="68"/>
        <v>42726</v>
      </c>
      <c r="D1364" s="552" t="s">
        <v>1020</v>
      </c>
      <c r="E1364" s="589">
        <v>42726</v>
      </c>
      <c r="F1364" s="592" t="s">
        <v>811</v>
      </c>
      <c r="G1364" s="590" t="s">
        <v>911</v>
      </c>
      <c r="H1364" s="555" t="s">
        <v>1073</v>
      </c>
      <c r="I1364" s="572">
        <v>550</v>
      </c>
      <c r="J1364" s="572">
        <v>6391.2686000887979</v>
      </c>
      <c r="K1364" s="21">
        <f t="shared" si="66"/>
        <v>3515198</v>
      </c>
      <c r="L1364" s="550" t="s">
        <v>166</v>
      </c>
      <c r="M1364" s="550" t="s">
        <v>161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/>
      </c>
      <c r="Z1364" s="563"/>
    </row>
    <row r="1365" spans="1:26" ht="15.75" customHeight="1">
      <c r="A1365" s="120" t="str">
        <f>IF(B1365&lt;&gt;"",IF(AND(B1365&gt;=_TM1,B1365&lt;=_TM2,OR(TH!L1365="1111",TH!M1365="1111")),TH!D1365,""),"")</f>
        <v/>
      </c>
      <c r="B1365" s="568">
        <f t="shared" si="69"/>
        <v>12</v>
      </c>
      <c r="C1365" s="569">
        <f t="shared" si="68"/>
        <v>42727</v>
      </c>
      <c r="D1365" s="552" t="s">
        <v>1020</v>
      </c>
      <c r="E1365" s="589">
        <v>42727</v>
      </c>
      <c r="F1365" s="592" t="s">
        <v>811</v>
      </c>
      <c r="G1365" s="590" t="s">
        <v>912</v>
      </c>
      <c r="H1365" s="555" t="s">
        <v>1073</v>
      </c>
      <c r="I1365" s="131">
        <v>2400</v>
      </c>
      <c r="J1365" s="131">
        <v>6391.2686000887979</v>
      </c>
      <c r="K1365" s="21">
        <f t="shared" si="66"/>
        <v>15339045</v>
      </c>
      <c r="L1365" s="550" t="s">
        <v>166</v>
      </c>
      <c r="M1365" s="550" t="s">
        <v>161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/>
      </c>
      <c r="Z1365" s="563"/>
    </row>
    <row r="1366" spans="1:26" ht="15.75" customHeight="1">
      <c r="A1366" s="120" t="str">
        <f>IF(B1366&lt;&gt;"",IF(AND(B1366&gt;=_TM1,B1366&lt;=_TM2,OR(TH!L1366="1111",TH!M1366="1111")),TH!D1366,""),"")</f>
        <v/>
      </c>
      <c r="B1366" s="568">
        <f t="shared" si="69"/>
        <v>12</v>
      </c>
      <c r="C1366" s="569">
        <f t="shared" si="68"/>
        <v>42728</v>
      </c>
      <c r="D1366" s="552" t="s">
        <v>1020</v>
      </c>
      <c r="E1366" s="589">
        <v>42728</v>
      </c>
      <c r="F1366" s="592" t="s">
        <v>914</v>
      </c>
      <c r="G1366" s="590" t="s">
        <v>913</v>
      </c>
      <c r="H1366" s="555" t="s">
        <v>1073</v>
      </c>
      <c r="I1366" s="131">
        <v>1010</v>
      </c>
      <c r="J1366" s="131">
        <v>8673.86452869194</v>
      </c>
      <c r="K1366" s="21">
        <f t="shared" si="66"/>
        <v>8760603</v>
      </c>
      <c r="L1366" s="550" t="s">
        <v>166</v>
      </c>
      <c r="M1366" s="550" t="s">
        <v>161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/>
      </c>
      <c r="Z1366" s="563"/>
    </row>
    <row r="1367" spans="1:26" ht="15.75" customHeight="1">
      <c r="A1367" s="120" t="str">
        <f>IF(B1367&lt;&gt;"",IF(AND(B1367&gt;=_TM1,B1367&lt;=_TM2,OR(TH!L1367="1111",TH!M1367="1111")),TH!D1367,""),"")</f>
        <v/>
      </c>
      <c r="B1367" s="568">
        <f t="shared" si="69"/>
        <v>12</v>
      </c>
      <c r="C1367" s="569">
        <f t="shared" si="68"/>
        <v>42728</v>
      </c>
      <c r="D1367" s="552" t="s">
        <v>1020</v>
      </c>
      <c r="E1367" s="589">
        <v>42728</v>
      </c>
      <c r="F1367" s="592" t="s">
        <v>915</v>
      </c>
      <c r="G1367" s="590" t="s">
        <v>913</v>
      </c>
      <c r="H1367" s="555" t="s">
        <v>1073</v>
      </c>
      <c r="I1367" s="131">
        <v>1006</v>
      </c>
      <c r="J1367" s="131">
        <v>7456.4800334369311</v>
      </c>
      <c r="K1367" s="21">
        <f t="shared" si="66"/>
        <v>7501219</v>
      </c>
      <c r="L1367" s="550" t="s">
        <v>166</v>
      </c>
      <c r="M1367" s="550" t="s">
        <v>161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/>
      </c>
      <c r="Z1367" s="563"/>
    </row>
    <row r="1368" spans="1:26" ht="15.75" customHeight="1">
      <c r="A1368" s="120" t="str">
        <f>IF(B1368&lt;&gt;"",IF(AND(B1368&gt;=_TM1,B1368&lt;=_TM2,OR(TH!L1368="1111",TH!M1368="1111")),TH!D1368,""),"")</f>
        <v/>
      </c>
      <c r="B1368" s="568">
        <f t="shared" si="69"/>
        <v>12</v>
      </c>
      <c r="C1368" s="569">
        <f t="shared" si="68"/>
        <v>42728</v>
      </c>
      <c r="D1368" s="552" t="s">
        <v>1020</v>
      </c>
      <c r="E1368" s="589">
        <v>42728</v>
      </c>
      <c r="F1368" s="592" t="s">
        <v>811</v>
      </c>
      <c r="G1368" s="590" t="s">
        <v>916</v>
      </c>
      <c r="H1368" s="555" t="s">
        <v>1073</v>
      </c>
      <c r="I1368" s="132">
        <v>2400</v>
      </c>
      <c r="J1368" s="132">
        <v>6391.2686000887979</v>
      </c>
      <c r="K1368" s="21">
        <f t="shared" si="66"/>
        <v>15339045</v>
      </c>
      <c r="L1368" s="550" t="s">
        <v>166</v>
      </c>
      <c r="M1368" s="550" t="s">
        <v>161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/>
      </c>
      <c r="Z1368" s="563"/>
    </row>
    <row r="1369" spans="1:26" ht="15.75" customHeight="1">
      <c r="A1369" s="120" t="str">
        <f>IF(B1369&lt;&gt;"",IF(AND(B1369&gt;=_TM1,B1369&lt;=_TM2,OR(TH!L1369="1111",TH!M1369="1111")),TH!D1369,""),"")</f>
        <v/>
      </c>
      <c r="B1369" s="568">
        <f t="shared" si="69"/>
        <v>12</v>
      </c>
      <c r="C1369" s="569">
        <f t="shared" si="68"/>
        <v>42729</v>
      </c>
      <c r="D1369" s="552" t="s">
        <v>1020</v>
      </c>
      <c r="E1369" s="589">
        <v>42729</v>
      </c>
      <c r="F1369" s="592" t="s">
        <v>918</v>
      </c>
      <c r="G1369" s="590" t="s">
        <v>917</v>
      </c>
      <c r="H1369" s="555" t="s">
        <v>1073</v>
      </c>
      <c r="I1369" s="131">
        <v>1070</v>
      </c>
      <c r="J1369" s="131">
        <v>7304.3069715300553</v>
      </c>
      <c r="K1369" s="21">
        <f t="shared" si="66"/>
        <v>7815608</v>
      </c>
      <c r="L1369" s="550" t="s">
        <v>166</v>
      </c>
      <c r="M1369" s="550" t="s">
        <v>161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/>
      </c>
      <c r="Z1369" s="563"/>
    </row>
    <row r="1370" spans="1:26" ht="15.75" customHeight="1">
      <c r="A1370" s="120" t="str">
        <f>IF(B1370&lt;&gt;"",IF(AND(B1370&gt;=_TM1,B1370&lt;=_TM2,OR(TH!L1370="1111",TH!M1370="1111")),TH!D1370,""),"")</f>
        <v/>
      </c>
      <c r="B1370" s="568">
        <f t="shared" si="69"/>
        <v>12</v>
      </c>
      <c r="C1370" s="569">
        <f t="shared" si="68"/>
        <v>42729</v>
      </c>
      <c r="D1370" s="552" t="s">
        <v>1020</v>
      </c>
      <c r="E1370" s="589">
        <v>42729</v>
      </c>
      <c r="F1370" s="592" t="s">
        <v>811</v>
      </c>
      <c r="G1370" s="590" t="s">
        <v>920</v>
      </c>
      <c r="H1370" s="555" t="s">
        <v>1073</v>
      </c>
      <c r="I1370" s="131">
        <v>2400</v>
      </c>
      <c r="J1370" s="131">
        <v>6391.2686000887979</v>
      </c>
      <c r="K1370" s="21">
        <f t="shared" si="66"/>
        <v>15339045</v>
      </c>
      <c r="L1370" s="550" t="s">
        <v>166</v>
      </c>
      <c r="M1370" s="550" t="s">
        <v>161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/>
      </c>
      <c r="Z1370" s="563"/>
    </row>
    <row r="1371" spans="1:26" ht="15.75" customHeight="1">
      <c r="A1371" s="120" t="str">
        <f>IF(B1371&lt;&gt;"",IF(AND(B1371&gt;=_TM1,B1371&lt;=_TM2,OR(TH!L1371="1111",TH!M1371="1111")),TH!D1371,""),"")</f>
        <v/>
      </c>
      <c r="B1371" s="568">
        <f t="shared" si="69"/>
        <v>12</v>
      </c>
      <c r="C1371" s="569">
        <f t="shared" si="68"/>
        <v>42730</v>
      </c>
      <c r="D1371" s="552" t="s">
        <v>1020</v>
      </c>
      <c r="E1371" s="589">
        <v>42730</v>
      </c>
      <c r="F1371" s="592" t="s">
        <v>811</v>
      </c>
      <c r="G1371" s="590" t="s">
        <v>921</v>
      </c>
      <c r="H1371" s="555" t="s">
        <v>1073</v>
      </c>
      <c r="I1371" s="131">
        <v>1200</v>
      </c>
      <c r="J1371" s="131">
        <v>6391.2686000887979</v>
      </c>
      <c r="K1371" s="21">
        <f t="shared" si="66"/>
        <v>7669522</v>
      </c>
      <c r="L1371" s="550" t="s">
        <v>166</v>
      </c>
      <c r="M1371" s="550" t="s">
        <v>161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/>
      </c>
      <c r="Z1371" s="563"/>
    </row>
    <row r="1372" spans="1:26" ht="15.75" customHeight="1">
      <c r="A1372" s="120" t="str">
        <f>IF(B1372&lt;&gt;"",IF(AND(B1372&gt;=_TM1,B1372&lt;=_TM2,OR(TH!L1372="1111",TH!M1372="1111")),TH!D1372,""),"")</f>
        <v/>
      </c>
      <c r="B1372" s="568">
        <f t="shared" si="69"/>
        <v>12</v>
      </c>
      <c r="C1372" s="569">
        <f t="shared" si="68"/>
        <v>42731</v>
      </c>
      <c r="D1372" s="552" t="s">
        <v>1020</v>
      </c>
      <c r="E1372" s="589">
        <v>42731</v>
      </c>
      <c r="F1372" s="592" t="s">
        <v>811</v>
      </c>
      <c r="G1372" s="590" t="s">
        <v>922</v>
      </c>
      <c r="H1372" s="555" t="s">
        <v>1073</v>
      </c>
      <c r="I1372" s="572">
        <v>1380</v>
      </c>
      <c r="J1372" s="132">
        <v>6391.2686000887979</v>
      </c>
      <c r="K1372" s="21">
        <f t="shared" si="66"/>
        <v>8819951</v>
      </c>
      <c r="L1372" s="550" t="s">
        <v>166</v>
      </c>
      <c r="M1372" s="550" t="s">
        <v>161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/>
      </c>
      <c r="Z1372" s="563"/>
    </row>
    <row r="1373" spans="1:26" ht="15.75" customHeight="1">
      <c r="A1373" s="120" t="str">
        <f>IF(B1373&lt;&gt;"",IF(AND(B1373&gt;=_TM1,B1373&lt;=_TM2,OR(TH!L1373="1111",TH!M1373="1111")),TH!D1373,""),"")</f>
        <v/>
      </c>
      <c r="B1373" s="568">
        <f t="shared" si="69"/>
        <v>12</v>
      </c>
      <c r="C1373" s="569">
        <f t="shared" si="68"/>
        <v>42732</v>
      </c>
      <c r="D1373" s="552" t="s">
        <v>1020</v>
      </c>
      <c r="E1373" s="589">
        <v>42732</v>
      </c>
      <c r="F1373" s="592" t="s">
        <v>811</v>
      </c>
      <c r="G1373" s="590" t="s">
        <v>923</v>
      </c>
      <c r="H1373" s="555" t="s">
        <v>1073</v>
      </c>
      <c r="I1373" s="131">
        <v>2030</v>
      </c>
      <c r="J1373" s="132">
        <v>6391.2686000887979</v>
      </c>
      <c r="K1373" s="21">
        <f t="shared" si="66"/>
        <v>12974275</v>
      </c>
      <c r="L1373" s="550" t="s">
        <v>166</v>
      </c>
      <c r="M1373" s="550" t="s">
        <v>161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/>
      </c>
      <c r="Z1373" s="563"/>
    </row>
    <row r="1374" spans="1:26" ht="15.75" customHeight="1">
      <c r="A1374" s="120" t="str">
        <f>IF(B1374&lt;&gt;"",IF(AND(B1374&gt;=_TM1,B1374&lt;=_TM2,OR(TH!L1374="1111",TH!M1374="1111")),TH!D1374,""),"")</f>
        <v/>
      </c>
      <c r="B1374" s="568">
        <f t="shared" si="69"/>
        <v>12</v>
      </c>
      <c r="C1374" s="569">
        <f t="shared" si="68"/>
        <v>42732</v>
      </c>
      <c r="D1374" s="552" t="s">
        <v>1020</v>
      </c>
      <c r="E1374" s="589">
        <v>42732</v>
      </c>
      <c r="F1374" s="592" t="s">
        <v>959</v>
      </c>
      <c r="G1374" s="590" t="s">
        <v>958</v>
      </c>
      <c r="H1374" s="555" t="s">
        <v>1073</v>
      </c>
      <c r="I1374" s="131">
        <v>188</v>
      </c>
      <c r="J1374" s="131">
        <v>9206.4702453660066</v>
      </c>
      <c r="K1374" s="21">
        <f t="shared" si="66"/>
        <v>1730816</v>
      </c>
      <c r="L1374" s="550" t="s">
        <v>166</v>
      </c>
      <c r="M1374" s="550" t="s">
        <v>161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/>
      </c>
      <c r="Z1374" s="563"/>
    </row>
    <row r="1375" spans="1:26" ht="15.75" customHeight="1">
      <c r="A1375" s="120" t="str">
        <f>IF(B1375&lt;&gt;"",IF(AND(B1375&gt;=_TM1,B1375&lt;=_TM2,OR(TH!L1375="1111",TH!M1375="1111")),TH!D1375,""),"")</f>
        <v/>
      </c>
      <c r="B1375" s="568">
        <f t="shared" si="69"/>
        <v>12</v>
      </c>
      <c r="C1375" s="569">
        <f t="shared" si="68"/>
        <v>42732</v>
      </c>
      <c r="D1375" s="552" t="s">
        <v>1020</v>
      </c>
      <c r="E1375" s="589">
        <v>42732</v>
      </c>
      <c r="F1375" s="592" t="s">
        <v>509</v>
      </c>
      <c r="G1375" s="590" t="s">
        <v>925</v>
      </c>
      <c r="H1375" s="555" t="s">
        <v>1073</v>
      </c>
      <c r="I1375" s="131">
        <v>209</v>
      </c>
      <c r="J1375" s="131">
        <v>10195.595147760703</v>
      </c>
      <c r="K1375" s="21">
        <f t="shared" si="66"/>
        <v>2130879</v>
      </c>
      <c r="L1375" s="550" t="s">
        <v>166</v>
      </c>
      <c r="M1375" s="550" t="s">
        <v>161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/>
      </c>
      <c r="Z1375" s="563"/>
    </row>
    <row r="1376" spans="1:26" ht="15.75" customHeight="1">
      <c r="A1376" s="120" t="str">
        <f>IF(B1376&lt;&gt;"",IF(AND(B1376&gt;=_TM1,B1376&lt;=_TM2,OR(TH!L1376="1111",TH!M1376="1111")),TH!D1376,""),"")</f>
        <v/>
      </c>
      <c r="B1376" s="568">
        <f t="shared" si="69"/>
        <v>12</v>
      </c>
      <c r="C1376" s="569">
        <f t="shared" si="68"/>
        <v>42732</v>
      </c>
      <c r="D1376" s="552" t="s">
        <v>1020</v>
      </c>
      <c r="E1376" s="589">
        <v>42732</v>
      </c>
      <c r="F1376" s="592" t="s">
        <v>926</v>
      </c>
      <c r="G1376" s="590" t="s">
        <v>924</v>
      </c>
      <c r="H1376" s="555" t="s">
        <v>1073</v>
      </c>
      <c r="I1376" s="131">
        <v>244</v>
      </c>
      <c r="J1376" s="131">
        <v>11108.63351920196</v>
      </c>
      <c r="K1376" s="21">
        <f t="shared" si="66"/>
        <v>2710507</v>
      </c>
      <c r="L1376" s="550" t="s">
        <v>166</v>
      </c>
      <c r="M1376" s="550" t="s">
        <v>161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/>
      </c>
      <c r="Z1376" s="563"/>
    </row>
    <row r="1377" spans="1:26" ht="15.75" customHeight="1">
      <c r="A1377" s="120" t="str">
        <f>IF(B1377&lt;&gt;"",IF(AND(B1377&gt;=_TM1,B1377&lt;=_TM2,OR(TH!L1377="1111",TH!M1377="1111")),TH!D1377,""),"")</f>
        <v/>
      </c>
      <c r="B1377" s="568">
        <f t="shared" si="69"/>
        <v>12</v>
      </c>
      <c r="C1377" s="569">
        <f t="shared" si="68"/>
        <v>42732</v>
      </c>
      <c r="D1377" s="552" t="s">
        <v>1020</v>
      </c>
      <c r="E1377" s="589">
        <v>42732</v>
      </c>
      <c r="F1377" s="592" t="s">
        <v>927</v>
      </c>
      <c r="G1377" s="590" t="s">
        <v>924</v>
      </c>
      <c r="H1377" s="555" t="s">
        <v>1073</v>
      </c>
      <c r="I1377" s="131">
        <v>244</v>
      </c>
      <c r="J1377" s="131">
        <v>10423.854740621018</v>
      </c>
      <c r="K1377" s="21">
        <f t="shared" si="66"/>
        <v>2543421</v>
      </c>
      <c r="L1377" s="550" t="s">
        <v>166</v>
      </c>
      <c r="M1377" s="550" t="s">
        <v>161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/>
      </c>
      <c r="Z1377" s="563"/>
    </row>
    <row r="1378" spans="1:26" ht="15.75" customHeight="1">
      <c r="A1378" s="120" t="str">
        <f>IF(B1378&lt;&gt;"",IF(AND(B1378&gt;=_TM1,B1378&lt;=_TM2,OR(TH!L1378="1111",TH!M1378="1111")),TH!D1378,""),"")</f>
        <v/>
      </c>
      <c r="B1378" s="568">
        <f t="shared" si="69"/>
        <v>12</v>
      </c>
      <c r="C1378" s="569">
        <f t="shared" si="68"/>
        <v>42732</v>
      </c>
      <c r="D1378" s="552" t="s">
        <v>1020</v>
      </c>
      <c r="E1378" s="589">
        <v>42732</v>
      </c>
      <c r="F1378" s="592" t="s">
        <v>928</v>
      </c>
      <c r="G1378" s="590" t="s">
        <v>924</v>
      </c>
      <c r="H1378" s="555" t="s">
        <v>1073</v>
      </c>
      <c r="I1378" s="131">
        <v>244</v>
      </c>
      <c r="J1378" s="131">
        <v>1141.297964301571</v>
      </c>
      <c r="K1378" s="21">
        <f t="shared" si="66"/>
        <v>278477</v>
      </c>
      <c r="L1378" s="550" t="s">
        <v>166</v>
      </c>
      <c r="M1378" s="550" t="s">
        <v>161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/>
      </c>
      <c r="Z1378" s="563"/>
    </row>
    <row r="1379" spans="1:26" ht="15.75" customHeight="1">
      <c r="A1379" s="120" t="str">
        <f>IF(B1379&lt;&gt;"",IF(AND(B1379&gt;=_TM1,B1379&lt;=_TM2,OR(TH!L1379="1111",TH!M1379="1111")),TH!D1379,""),"")</f>
        <v/>
      </c>
      <c r="B1379" s="568">
        <f t="shared" si="69"/>
        <v>12</v>
      </c>
      <c r="C1379" s="569">
        <f t="shared" si="68"/>
        <v>42732</v>
      </c>
      <c r="D1379" s="552" t="s">
        <v>1020</v>
      </c>
      <c r="E1379" s="589">
        <v>42732</v>
      </c>
      <c r="F1379" s="592" t="s">
        <v>929</v>
      </c>
      <c r="G1379" s="590" t="s">
        <v>924</v>
      </c>
      <c r="H1379" s="555" t="s">
        <v>1073</v>
      </c>
      <c r="I1379" s="131">
        <v>244</v>
      </c>
      <c r="J1379" s="132">
        <v>989.12490239469503</v>
      </c>
      <c r="K1379" s="21">
        <f t="shared" si="66"/>
        <v>241346</v>
      </c>
      <c r="L1379" s="550" t="s">
        <v>166</v>
      </c>
      <c r="M1379" s="550" t="s">
        <v>161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/>
      </c>
      <c r="Z1379" s="563"/>
    </row>
    <row r="1380" spans="1:26" ht="15.75" customHeight="1">
      <c r="A1380" s="120" t="str">
        <f>IF(B1380&lt;&gt;"",IF(AND(B1380&gt;=_TM1,B1380&lt;=_TM2,OR(TH!L1380="1111",TH!M1380="1111")),TH!D1380,""),"")</f>
        <v/>
      </c>
      <c r="B1380" s="568">
        <f t="shared" si="69"/>
        <v>12</v>
      </c>
      <c r="C1380" s="569">
        <f t="shared" si="68"/>
        <v>42732</v>
      </c>
      <c r="D1380" s="552" t="s">
        <v>1020</v>
      </c>
      <c r="E1380" s="589">
        <v>42732</v>
      </c>
      <c r="F1380" s="592" t="s">
        <v>930</v>
      </c>
      <c r="G1380" s="590" t="s">
        <v>924</v>
      </c>
      <c r="H1380" s="555" t="s">
        <v>1073</v>
      </c>
      <c r="I1380" s="131">
        <v>244</v>
      </c>
      <c r="J1380" s="131">
        <v>760.8653095343808</v>
      </c>
      <c r="K1380" s="21">
        <f t="shared" si="66"/>
        <v>185651</v>
      </c>
      <c r="L1380" s="550" t="s">
        <v>166</v>
      </c>
      <c r="M1380" s="550" t="s">
        <v>161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/>
      </c>
      <c r="Z1380" s="563"/>
    </row>
    <row r="1381" spans="1:26" ht="15.75" customHeight="1">
      <c r="A1381" s="120" t="str">
        <f>IF(B1381&lt;&gt;"",IF(AND(B1381&gt;=_TM1,B1381&lt;=_TM2,OR(TH!L1381="1111",TH!M1381="1111")),TH!D1381,""),"")</f>
        <v/>
      </c>
      <c r="B1381" s="568">
        <f t="shared" si="69"/>
        <v>12</v>
      </c>
      <c r="C1381" s="569">
        <f t="shared" si="68"/>
        <v>42732</v>
      </c>
      <c r="D1381" s="552" t="s">
        <v>1020</v>
      </c>
      <c r="E1381" s="589">
        <v>42732</v>
      </c>
      <c r="F1381" s="592" t="s">
        <v>931</v>
      </c>
      <c r="G1381" s="590" t="s">
        <v>924</v>
      </c>
      <c r="H1381" s="555" t="s">
        <v>1073</v>
      </c>
      <c r="I1381" s="131">
        <v>244</v>
      </c>
      <c r="J1381" s="131">
        <v>608.69224762750468</v>
      </c>
      <c r="K1381" s="21">
        <f t="shared" si="66"/>
        <v>148521</v>
      </c>
      <c r="L1381" s="550" t="s">
        <v>166</v>
      </c>
      <c r="M1381" s="550" t="s">
        <v>161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/>
      </c>
      <c r="Z1381" s="563"/>
    </row>
    <row r="1382" spans="1:26" ht="15.75" customHeight="1">
      <c r="A1382" s="120" t="str">
        <f>IF(B1382&lt;&gt;"",IF(AND(B1382&gt;=_TM1,B1382&lt;=_TM2,OR(TH!L1382="1111",TH!M1382="1111")),TH!D1382,""),"")</f>
        <v/>
      </c>
      <c r="B1382" s="568">
        <f t="shared" si="69"/>
        <v>12</v>
      </c>
      <c r="C1382" s="569">
        <f t="shared" si="68"/>
        <v>42733</v>
      </c>
      <c r="D1382" s="552" t="s">
        <v>1020</v>
      </c>
      <c r="E1382" s="589">
        <v>42733</v>
      </c>
      <c r="F1382" s="592" t="s">
        <v>935</v>
      </c>
      <c r="G1382" s="590" t="s">
        <v>932</v>
      </c>
      <c r="H1382" s="555" t="s">
        <v>1073</v>
      </c>
      <c r="I1382" s="131">
        <v>650</v>
      </c>
      <c r="J1382" s="131">
        <v>836.95184048781891</v>
      </c>
      <c r="K1382" s="21">
        <f t="shared" si="66"/>
        <v>544019</v>
      </c>
      <c r="L1382" s="550" t="s">
        <v>166</v>
      </c>
      <c r="M1382" s="550" t="s">
        <v>161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/>
      </c>
      <c r="Z1382" s="563"/>
    </row>
    <row r="1383" spans="1:26" ht="15.75" customHeight="1">
      <c r="A1383" s="120" t="str">
        <f>IF(B1383&lt;&gt;"",IF(AND(B1383&gt;=_TM1,B1383&lt;=_TM2,OR(TH!L1383="1111",TH!M1383="1111")),TH!D1383,""),"")</f>
        <v/>
      </c>
      <c r="B1383" s="568">
        <f t="shared" si="69"/>
        <v>12</v>
      </c>
      <c r="C1383" s="569">
        <f t="shared" si="68"/>
        <v>42734</v>
      </c>
      <c r="D1383" s="552" t="s">
        <v>1020</v>
      </c>
      <c r="E1383" s="589">
        <v>42734</v>
      </c>
      <c r="F1383" s="592" t="s">
        <v>522</v>
      </c>
      <c r="G1383" s="590" t="s">
        <v>934</v>
      </c>
      <c r="H1383" s="555" t="s">
        <v>1073</v>
      </c>
      <c r="I1383" s="131">
        <v>525</v>
      </c>
      <c r="J1383" s="131">
        <v>5554.3167596009798</v>
      </c>
      <c r="K1383" s="21">
        <f t="shared" si="66"/>
        <v>2916016</v>
      </c>
      <c r="L1383" s="550" t="s">
        <v>166</v>
      </c>
      <c r="M1383" s="550" t="s">
        <v>161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/>
      </c>
      <c r="Z1383" s="563"/>
    </row>
    <row r="1384" spans="1:26" ht="15.75" customHeight="1">
      <c r="A1384" s="120" t="str">
        <f>IF(B1384&lt;&gt;"",IF(AND(B1384&gt;=_TM1,B1384&lt;=_TM2,OR(TH!L1384="1111",TH!M1384="1111")),TH!D1384,""),"")</f>
        <v/>
      </c>
      <c r="B1384" s="568">
        <f t="shared" ref="B1384:B1390" si="70">IF(C1384&lt;&gt;"",MONTH(C1384),"")</f>
        <v>12</v>
      </c>
      <c r="C1384" s="569">
        <f t="shared" ref="C1384:C1390" si="71">E1384</f>
        <v>42734</v>
      </c>
      <c r="D1384" s="552" t="s">
        <v>1020</v>
      </c>
      <c r="E1384" s="589">
        <v>42734</v>
      </c>
      <c r="F1384" s="592" t="s">
        <v>1083</v>
      </c>
      <c r="G1384" s="590" t="s">
        <v>1081</v>
      </c>
      <c r="H1384" s="555" t="s">
        <v>1073</v>
      </c>
      <c r="I1384" s="131">
        <v>7250</v>
      </c>
      <c r="J1384" s="132">
        <v>2130.4228666962663</v>
      </c>
      <c r="K1384" s="21">
        <f t="shared" ref="K1384:K1390" si="72">ROUND(I1384*J1384,0)</f>
        <v>15445566</v>
      </c>
      <c r="L1384" s="550" t="s">
        <v>166</v>
      </c>
      <c r="M1384" s="550" t="s">
        <v>161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/>
      </c>
      <c r="Z1384" s="563"/>
    </row>
    <row r="1385" spans="1:26" ht="15.75" customHeight="1">
      <c r="A1385" s="120" t="str">
        <f>IF(B1385&lt;&gt;"",IF(AND(B1385&gt;=_TM1,B1385&lt;=_TM2,OR(TH!L1385="1111",TH!M1385="1111")),TH!D1385,""),"")</f>
        <v/>
      </c>
      <c r="B1385" s="568">
        <f t="shared" si="70"/>
        <v>12</v>
      </c>
      <c r="C1385" s="569">
        <f t="shared" si="71"/>
        <v>42734</v>
      </c>
      <c r="D1385" s="552" t="s">
        <v>1020</v>
      </c>
      <c r="E1385" s="589">
        <v>42734</v>
      </c>
      <c r="F1385" s="592" t="s">
        <v>1084</v>
      </c>
      <c r="G1385" s="590" t="s">
        <v>1081</v>
      </c>
      <c r="H1385" s="555" t="s">
        <v>1073</v>
      </c>
      <c r="I1385" s="131">
        <v>9730</v>
      </c>
      <c r="J1385" s="131">
        <v>1673.9036809756378</v>
      </c>
      <c r="K1385" s="21">
        <f t="shared" si="72"/>
        <v>16287083</v>
      </c>
      <c r="L1385" s="550" t="s">
        <v>166</v>
      </c>
      <c r="M1385" s="550" t="s">
        <v>161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/>
      </c>
      <c r="Z1385" s="563"/>
    </row>
    <row r="1386" spans="1:26" ht="15.75" customHeight="1">
      <c r="A1386" s="120" t="str">
        <f>IF(B1386&lt;&gt;"",IF(AND(B1386&gt;=_TM1,B1386&lt;=_TM2,OR(TH!L1386="1111",TH!M1386="1111")),TH!D1386,""),"")</f>
        <v/>
      </c>
      <c r="B1386" s="568">
        <f t="shared" si="70"/>
        <v>12</v>
      </c>
      <c r="C1386" s="569">
        <f t="shared" si="71"/>
        <v>42734</v>
      </c>
      <c r="D1386" s="552" t="s">
        <v>1020</v>
      </c>
      <c r="E1386" s="589">
        <v>42734</v>
      </c>
      <c r="F1386" s="592" t="s">
        <v>1085</v>
      </c>
      <c r="G1386" s="590" t="s">
        <v>1081</v>
      </c>
      <c r="H1386" s="555" t="s">
        <v>1073</v>
      </c>
      <c r="I1386" s="131">
        <v>375</v>
      </c>
      <c r="J1386" s="131">
        <v>380.4326547671904</v>
      </c>
      <c r="K1386" s="21">
        <f t="shared" si="72"/>
        <v>142662</v>
      </c>
      <c r="L1386" s="550" t="s">
        <v>166</v>
      </c>
      <c r="M1386" s="550" t="s">
        <v>161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/>
      </c>
      <c r="Z1386" s="563"/>
    </row>
    <row r="1387" spans="1:26" ht="15.75" customHeight="1">
      <c r="A1387" s="120" t="str">
        <f>IF(B1387&lt;&gt;"",IF(AND(B1387&gt;=_TM1,B1387&lt;=_TM2,OR(TH!L1387="1111",TH!M1387="1111")),TH!D1387,""),"")</f>
        <v/>
      </c>
      <c r="B1387" s="568">
        <f t="shared" si="70"/>
        <v>12</v>
      </c>
      <c r="C1387" s="569">
        <f t="shared" si="71"/>
        <v>42734</v>
      </c>
      <c r="D1387" s="552" t="s">
        <v>1020</v>
      </c>
      <c r="E1387" s="589">
        <v>42734</v>
      </c>
      <c r="F1387" s="592" t="s">
        <v>1086</v>
      </c>
      <c r="G1387" s="590" t="s">
        <v>1081</v>
      </c>
      <c r="H1387" s="555" t="s">
        <v>1073</v>
      </c>
      <c r="I1387" s="131">
        <v>500</v>
      </c>
      <c r="J1387" s="131">
        <v>21912.920914590166</v>
      </c>
      <c r="K1387" s="21">
        <f t="shared" si="72"/>
        <v>10956460</v>
      </c>
      <c r="L1387" s="550" t="s">
        <v>166</v>
      </c>
      <c r="M1387" s="550" t="s">
        <v>161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/>
      </c>
      <c r="Z1387" s="563"/>
    </row>
    <row r="1388" spans="1:26" ht="15.75" customHeight="1">
      <c r="A1388" s="120" t="str">
        <f>IF(B1388&lt;&gt;"",IF(AND(B1388&gt;=_TM1,B1388&lt;=_TM2,OR(TH!L1388="1111",TH!M1388="1111")),TH!D1388,""),"")</f>
        <v/>
      </c>
      <c r="B1388" s="568">
        <f t="shared" si="70"/>
        <v>12</v>
      </c>
      <c r="C1388" s="569">
        <f t="shared" si="71"/>
        <v>42734</v>
      </c>
      <c r="D1388" s="552" t="s">
        <v>1020</v>
      </c>
      <c r="E1388" s="589">
        <v>42734</v>
      </c>
      <c r="F1388" s="592" t="s">
        <v>1087</v>
      </c>
      <c r="G1388" s="590" t="s">
        <v>1081</v>
      </c>
      <c r="H1388" s="555" t="s">
        <v>1073</v>
      </c>
      <c r="I1388" s="131">
        <v>2375</v>
      </c>
      <c r="J1388" s="131">
        <v>1217.3844952550094</v>
      </c>
      <c r="K1388" s="21">
        <f t="shared" si="72"/>
        <v>2891288</v>
      </c>
      <c r="L1388" s="550" t="s">
        <v>166</v>
      </c>
      <c r="M1388" s="550" t="s">
        <v>161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/>
      </c>
      <c r="Z1388" s="563"/>
    </row>
    <row r="1389" spans="1:26" ht="15.75" customHeight="1">
      <c r="A1389" s="120" t="str">
        <f>IF(B1389&lt;&gt;"",IF(AND(B1389&gt;=_TM1,B1389&lt;=_TM2,OR(TH!L1389="1111",TH!M1389="1111")),TH!D1389,""),"")</f>
        <v/>
      </c>
      <c r="B1389" s="568">
        <f t="shared" si="70"/>
        <v>12</v>
      </c>
      <c r="C1389" s="569">
        <f t="shared" si="71"/>
        <v>42734</v>
      </c>
      <c r="D1389" s="552" t="s">
        <v>1020</v>
      </c>
      <c r="E1389" s="589">
        <v>42734</v>
      </c>
      <c r="F1389" s="592" t="s">
        <v>1088</v>
      </c>
      <c r="G1389" s="590" t="s">
        <v>1081</v>
      </c>
      <c r="H1389" s="555" t="s">
        <v>1073</v>
      </c>
      <c r="I1389" s="131">
        <v>200</v>
      </c>
      <c r="J1389" s="131">
        <v>2739.1151143237707</v>
      </c>
      <c r="K1389" s="21">
        <f t="shared" si="72"/>
        <v>547823</v>
      </c>
      <c r="L1389" s="550" t="s">
        <v>166</v>
      </c>
      <c r="M1389" s="550" t="s">
        <v>161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/>
      </c>
      <c r="Z1389" s="563"/>
    </row>
    <row r="1390" spans="1:26" ht="15.75" customHeight="1">
      <c r="A1390" s="120" t="str">
        <f>IF(B1390&lt;&gt;"",IF(AND(B1390&gt;=_TM1,B1390&lt;=_TM2,OR(TH!L1390="1111",TH!M1390="1111")),TH!D1390,""),"")</f>
        <v/>
      </c>
      <c r="B1390" s="568">
        <f t="shared" si="70"/>
        <v>12</v>
      </c>
      <c r="C1390" s="569">
        <f t="shared" si="71"/>
        <v>42734</v>
      </c>
      <c r="D1390" s="552" t="s">
        <v>1020</v>
      </c>
      <c r="E1390" s="589">
        <v>42734</v>
      </c>
      <c r="F1390" s="592" t="s">
        <v>1089</v>
      </c>
      <c r="G1390" s="590" t="s">
        <v>1081</v>
      </c>
      <c r="H1390" s="555" t="s">
        <v>1073</v>
      </c>
      <c r="I1390" s="131">
        <v>2000</v>
      </c>
      <c r="J1390" s="132">
        <v>1065.2114333481331</v>
      </c>
      <c r="K1390" s="21">
        <f t="shared" si="72"/>
        <v>2130423</v>
      </c>
      <c r="L1390" s="550" t="s">
        <v>166</v>
      </c>
      <c r="M1390" s="550" t="s">
        <v>161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/>
      </c>
      <c r="Z1390" s="563"/>
    </row>
    <row r="1391" spans="1:26" ht="15.75" customHeight="1">
      <c r="A1391" s="120" t="str">
        <f>IF(B1391&lt;&gt;"",IF(AND(B1391&gt;=_TM1,B1391&lt;=_TM2,OR(TH!L1391="1111",TH!M1391="1111")),TH!D1391,""),"")</f>
        <v/>
      </c>
      <c r="B1391" s="568">
        <f t="shared" si="69"/>
        <v>12</v>
      </c>
      <c r="C1391" s="569">
        <f t="shared" si="68"/>
        <v>42735</v>
      </c>
      <c r="D1391" s="552" t="s">
        <v>1020</v>
      </c>
      <c r="E1391" s="589">
        <v>42735</v>
      </c>
      <c r="F1391" s="592" t="s">
        <v>500</v>
      </c>
      <c r="G1391" s="590" t="s">
        <v>942</v>
      </c>
      <c r="H1391" s="555" t="s">
        <v>1073</v>
      </c>
      <c r="I1391" s="131">
        <v>1808</v>
      </c>
      <c r="J1391" s="131">
        <v>8673.86452869194</v>
      </c>
      <c r="K1391" s="21">
        <f t="shared" si="66"/>
        <v>15682347</v>
      </c>
      <c r="L1391" s="550" t="s">
        <v>166</v>
      </c>
      <c r="M1391" s="550" t="s">
        <v>161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/>
      </c>
      <c r="Z1391" s="563"/>
    </row>
    <row r="1392" spans="1:26" ht="15.75" customHeight="1">
      <c r="A1392" s="120" t="str">
        <f>IF(B1392&lt;&gt;"",IF(AND(B1392&gt;=_TM1,B1392&lt;=_TM2,OR(TH!L1392="1111",TH!M1392="1111")),TH!D1392,""),"")</f>
        <v/>
      </c>
      <c r="B1392" s="568">
        <f t="shared" si="69"/>
        <v>12</v>
      </c>
      <c r="C1392" s="569">
        <f t="shared" si="68"/>
        <v>42735</v>
      </c>
      <c r="D1392" s="552" t="s">
        <v>1020</v>
      </c>
      <c r="E1392" s="589">
        <v>42735</v>
      </c>
      <c r="F1392" s="592" t="s">
        <v>375</v>
      </c>
      <c r="G1392" s="590" t="s">
        <v>942</v>
      </c>
      <c r="H1392" s="555" t="s">
        <v>1073</v>
      </c>
      <c r="I1392" s="131">
        <v>3616</v>
      </c>
      <c r="J1392" s="131">
        <v>684.77877858094269</v>
      </c>
      <c r="K1392" s="21">
        <f t="shared" si="66"/>
        <v>2476160</v>
      </c>
      <c r="L1392" s="550" t="s">
        <v>166</v>
      </c>
      <c r="M1392" s="550" t="s">
        <v>161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/>
      </c>
      <c r="Z1392" s="563"/>
    </row>
    <row r="1393" spans="1:26" ht="15.75" customHeight="1">
      <c r="A1393" s="120" t="str">
        <f>IF(B1393&lt;&gt;"",IF(AND(B1393&gt;=_TM1,B1393&lt;=_TM2,OR(TH!L1393="1111",TH!M1393="1111")),TH!D1393,""),"")</f>
        <v/>
      </c>
      <c r="B1393" s="12" t="str">
        <f t="shared" ref="B1393:B1396" si="73">IF(C1393&lt;&gt;"",MONTH(C1393),"")</f>
        <v/>
      </c>
      <c r="C1393" s="105"/>
      <c r="D1393" s="110"/>
      <c r="E1393" s="105"/>
      <c r="F1393" s="111"/>
      <c r="G1393" s="298"/>
      <c r="H1393" s="4"/>
      <c r="I1393" s="133"/>
      <c r="J1393" s="133"/>
      <c r="K1393" s="13"/>
      <c r="L1393" s="113"/>
      <c r="M1393" s="113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63"/>
    </row>
    <row r="1394" spans="1:26" ht="15.75" customHeight="1">
      <c r="A1394" s="120" t="str">
        <f>IF(B1394&lt;&gt;"",IF(AND(B1394&gt;=_TM1,B1394&lt;=_TM2,OR(TH!L1394="1111",TH!M1394="1111")),TH!D1394,""),"")</f>
        <v/>
      </c>
      <c r="B1394" s="12" t="str">
        <f t="shared" si="73"/>
        <v/>
      </c>
      <c r="C1394" s="105"/>
      <c r="D1394" s="110"/>
      <c r="E1394" s="105"/>
      <c r="F1394" s="109"/>
      <c r="G1394" s="298"/>
      <c r="H1394" s="4"/>
      <c r="I1394" s="133"/>
      <c r="J1394" s="133"/>
      <c r="K1394" s="401"/>
      <c r="L1394" s="113"/>
      <c r="M1394" s="113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63"/>
    </row>
    <row r="1395" spans="1:26" ht="15.75" customHeight="1">
      <c r="A1395" s="120" t="str">
        <f>IF(B1395&lt;&gt;"",IF(AND(B1395&gt;=_TM1,B1395&lt;=_TM2,OR(TH!L1395="1111",TH!M1395="1111")),TH!D1395,""),"")</f>
        <v/>
      </c>
      <c r="B1395" s="12" t="str">
        <f t="shared" si="73"/>
        <v/>
      </c>
      <c r="C1395" s="105"/>
      <c r="D1395" s="110"/>
      <c r="E1395" s="105"/>
      <c r="F1395" s="109"/>
      <c r="G1395" s="298"/>
      <c r="H1395" s="4"/>
      <c r="I1395" s="133"/>
      <c r="J1395" s="133"/>
      <c r="K1395" s="13"/>
      <c r="L1395" s="113"/>
      <c r="M1395" s="113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63"/>
    </row>
    <row r="1396" spans="1:26" ht="15.75" customHeight="1">
      <c r="A1396" s="120" t="str">
        <f>IF(B1396&lt;&gt;"",IF(AND(B1396&gt;=_TM1,B1396&lt;=_TM2,OR(TH!L1396="1111",TH!M1396="1111")),TH!D1396,""),"")</f>
        <v/>
      </c>
      <c r="B1396" s="12" t="str">
        <f t="shared" si="73"/>
        <v/>
      </c>
      <c r="C1396" s="105"/>
      <c r="D1396" s="110"/>
      <c r="E1396" s="105"/>
      <c r="F1396" s="109"/>
      <c r="G1396" s="298"/>
      <c r="H1396" s="4"/>
      <c r="I1396" s="133"/>
      <c r="J1396" s="133"/>
      <c r="K1396" s="401"/>
      <c r="L1396" s="113"/>
      <c r="M1396" s="113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63"/>
    </row>
    <row r="1397" spans="1:26">
      <c r="A1397" s="121"/>
      <c r="B1397" s="116"/>
      <c r="C1397" s="116"/>
      <c r="D1397" s="116"/>
      <c r="E1397" s="116"/>
      <c r="F1397" s="116"/>
      <c r="G1397" s="299"/>
      <c r="H1397" s="126"/>
      <c r="I1397" s="126"/>
      <c r="J1397" s="126"/>
      <c r="K1397" s="116"/>
      <c r="L1397" s="116"/>
      <c r="M1397" s="116"/>
      <c r="N1397" s="116"/>
      <c r="O1397" s="116"/>
      <c r="P1397" s="116"/>
      <c r="Q1397" s="116"/>
      <c r="R1397" s="116"/>
      <c r="S1397" s="116"/>
      <c r="T1397" s="116"/>
      <c r="U1397" s="116"/>
      <c r="V1397" s="116"/>
      <c r="W1397" s="116"/>
      <c r="X1397" s="116"/>
      <c r="Y1397" s="116"/>
      <c r="Z1397" s="116"/>
    </row>
    <row r="1398" spans="1:26">
      <c r="A1398" s="121"/>
      <c r="B1398" s="116"/>
      <c r="C1398" s="116"/>
      <c r="D1398" s="116"/>
      <c r="E1398" s="116"/>
      <c r="F1398" s="116"/>
      <c r="G1398" s="299"/>
      <c r="H1398" s="126"/>
      <c r="I1398" s="126"/>
      <c r="J1398" s="126"/>
      <c r="K1398" s="116"/>
      <c r="L1398" s="116"/>
      <c r="M1398" s="116"/>
      <c r="N1398" s="116"/>
      <c r="O1398" s="116"/>
      <c r="P1398" s="116"/>
      <c r="Q1398" s="116"/>
      <c r="R1398" s="116"/>
      <c r="S1398" s="116"/>
      <c r="T1398" s="116"/>
      <c r="U1398" s="116"/>
      <c r="V1398" s="116"/>
      <c r="W1398" s="116"/>
      <c r="X1398" s="116"/>
      <c r="Y1398" s="116"/>
      <c r="Z1398" s="116"/>
    </row>
    <row r="1399" spans="1:26">
      <c r="A1399" s="121"/>
      <c r="B1399" s="116"/>
      <c r="C1399" s="116"/>
      <c r="D1399" s="116"/>
      <c r="E1399" s="116"/>
      <c r="F1399" s="116"/>
      <c r="G1399" s="299"/>
      <c r="H1399" s="126"/>
      <c r="I1399" s="126"/>
      <c r="J1399" s="126"/>
      <c r="K1399" s="116"/>
      <c r="L1399" s="116"/>
      <c r="M1399" s="116"/>
      <c r="N1399" s="116"/>
      <c r="O1399" s="116"/>
      <c r="P1399" s="116"/>
      <c r="Q1399" s="116"/>
      <c r="R1399" s="116"/>
      <c r="S1399" s="116"/>
      <c r="T1399" s="116"/>
      <c r="U1399" s="116"/>
      <c r="V1399" s="116"/>
      <c r="W1399" s="116"/>
      <c r="X1399" s="116"/>
      <c r="Y1399" s="116"/>
      <c r="Z1399" s="116"/>
    </row>
    <row r="1400" spans="1:26">
      <c r="A1400" s="121"/>
      <c r="B1400" s="116"/>
      <c r="C1400" s="116"/>
      <c r="D1400" s="116"/>
      <c r="E1400" s="116"/>
      <c r="F1400" s="116"/>
      <c r="G1400" s="299"/>
      <c r="H1400" s="498"/>
      <c r="I1400" s="126"/>
      <c r="J1400" s="126"/>
      <c r="K1400" s="295">
        <f>SUBTOTAL(9,K10:K1396)</f>
        <v>18563371756</v>
      </c>
      <c r="L1400" s="116"/>
      <c r="M1400" s="116"/>
      <c r="N1400" s="116"/>
      <c r="O1400" s="116"/>
      <c r="P1400" s="116"/>
      <c r="Q1400" s="116"/>
      <c r="R1400" s="116"/>
      <c r="S1400" s="116"/>
      <c r="T1400" s="116"/>
      <c r="U1400" s="116"/>
      <c r="V1400" s="116"/>
      <c r="W1400" s="116"/>
      <c r="X1400" s="116"/>
      <c r="Y1400" s="116"/>
      <c r="Z1400" s="116"/>
    </row>
  </sheetData>
  <autoFilter ref="A9:Z1396"/>
  <sortState ref="A17:AE843">
    <sortCondition ref="C17:C843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505" customWidth="1"/>
    <col min="2" max="2" width="9.28515625" style="505" customWidth="1"/>
    <col min="3" max="3" width="10" style="505" customWidth="1"/>
    <col min="4" max="4" width="41.42578125" style="505" customWidth="1"/>
    <col min="5" max="5" width="6" style="505" customWidth="1"/>
    <col min="6" max="6" width="7.85546875" style="505" customWidth="1"/>
    <col min="7" max="7" width="8.5703125" style="505" customWidth="1"/>
    <col min="8" max="8" width="13.85546875" style="505" customWidth="1"/>
    <col min="9" max="9" width="14.140625" style="505" customWidth="1"/>
    <col min="10" max="11" width="9.140625" style="505"/>
    <col min="12" max="12" width="3.5703125" style="505" customWidth="1"/>
    <col min="13" max="14" width="9.140625" style="505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652" t="str">
        <f>TH!A1</f>
        <v>Đơn vị: CÔNG TY TNHH BAO BÌ GIẤY KIM DUNG PHÁT</v>
      </c>
      <c r="F1" s="826" t="s">
        <v>330</v>
      </c>
      <c r="G1" s="826"/>
      <c r="H1" s="826"/>
      <c r="I1" s="826"/>
    </row>
    <row r="2" spans="1:14">
      <c r="A2" s="505" t="str">
        <f>TH!A2</f>
        <v>Địa chỉ: Ấp Rừng Sến, xã Mỹ Hạnh Bắc, Huyện Đức Hòa, Tỉnh Long An, Việt Nam</v>
      </c>
      <c r="F2" s="825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25"/>
      <c r="H2" s="825"/>
      <c r="I2" s="825"/>
    </row>
    <row r="3" spans="1:14">
      <c r="F3" s="825"/>
      <c r="G3" s="825"/>
      <c r="H3" s="825"/>
      <c r="I3" s="825"/>
    </row>
    <row r="4" spans="1:14">
      <c r="H4" s="521"/>
      <c r="I4" s="521"/>
    </row>
    <row r="5" spans="1:14" ht="26.25" customHeight="1">
      <c r="B5" s="652"/>
      <c r="C5" s="652"/>
      <c r="D5" s="655" t="s">
        <v>331</v>
      </c>
      <c r="E5" s="652"/>
      <c r="F5" s="652"/>
      <c r="G5" s="652"/>
      <c r="H5" s="652"/>
      <c r="I5" s="652"/>
      <c r="J5" s="652"/>
      <c r="K5" s="652"/>
    </row>
    <row r="6" spans="1:14">
      <c r="B6" s="653"/>
      <c r="C6" s="653"/>
      <c r="D6" s="654" t="str">
        <f ca="1">$K$9&amp;"   -   Năm:  " &amp;YEAR(A11)</f>
        <v>Quý III   -   Năm:  2016</v>
      </c>
      <c r="E6" s="653"/>
      <c r="F6" s="653"/>
      <c r="G6" s="653"/>
      <c r="H6" s="653"/>
      <c r="I6" s="653"/>
      <c r="J6" s="653"/>
      <c r="K6" s="653"/>
    </row>
    <row r="7" spans="1:14">
      <c r="A7" s="504"/>
      <c r="B7" s="504"/>
      <c r="C7" s="504"/>
      <c r="D7" s="504"/>
      <c r="E7" s="504"/>
      <c r="F7" s="504"/>
      <c r="G7" s="504"/>
      <c r="H7" s="829" t="s">
        <v>118</v>
      </c>
      <c r="I7" s="829"/>
      <c r="J7" s="504"/>
      <c r="K7" s="504"/>
      <c r="M7" s="828" t="s">
        <v>322</v>
      </c>
      <c r="N7" s="828"/>
    </row>
    <row r="8" spans="1:14" ht="23.25" customHeight="1" thickBot="1">
      <c r="A8" s="830" t="s">
        <v>332</v>
      </c>
      <c r="B8" s="832" t="s">
        <v>1</v>
      </c>
      <c r="C8" s="833"/>
      <c r="D8" s="834" t="s">
        <v>0</v>
      </c>
      <c r="E8" s="830" t="s">
        <v>333</v>
      </c>
      <c r="F8" s="827" t="s">
        <v>93</v>
      </c>
      <c r="G8" s="827"/>
      <c r="H8" s="832" t="s">
        <v>21</v>
      </c>
      <c r="I8" s="833"/>
      <c r="J8" s="504"/>
      <c r="K8" s="504"/>
      <c r="M8" s="506">
        <f>IF(K9="Quý I",1,IF(K9="Quý II",4,IF(K9="Quý III",7,IF(K9="Quý IV",10,""))))</f>
        <v>7</v>
      </c>
      <c r="N8" s="506">
        <f>IF(K9="Quý I",3,IF(K9="Quý II",6,IF(K9="Quý III",9,IF(K9="Quý IV",12,""))))</f>
        <v>9</v>
      </c>
    </row>
    <row r="9" spans="1:14" ht="28.5" customHeight="1" thickBot="1">
      <c r="A9" s="831"/>
      <c r="B9" s="507" t="s">
        <v>15</v>
      </c>
      <c r="C9" s="507" t="s">
        <v>31</v>
      </c>
      <c r="D9" s="835"/>
      <c r="E9" s="831"/>
      <c r="F9" s="632" t="s">
        <v>22</v>
      </c>
      <c r="G9" s="632" t="s">
        <v>23</v>
      </c>
      <c r="H9" s="507" t="s">
        <v>334</v>
      </c>
      <c r="I9" s="507" t="s">
        <v>23</v>
      </c>
      <c r="K9" s="448" t="s">
        <v>358</v>
      </c>
    </row>
    <row r="10" spans="1:14" ht="21" customHeight="1">
      <c r="A10" s="508"/>
      <c r="B10" s="508"/>
      <c r="C10" s="508"/>
      <c r="D10" s="509" t="s">
        <v>337</v>
      </c>
      <c r="E10" s="510"/>
      <c r="F10" s="508"/>
      <c r="G10" s="508"/>
      <c r="H10" s="511">
        <f>SUMIF(_M,"&lt;"&amp;$M$8,TH)</f>
        <v>360238000</v>
      </c>
      <c r="I10" s="511">
        <f>SUMIF(_M,"&lt;"&amp;$M$8,TH)</f>
        <v>360238000</v>
      </c>
    </row>
    <row r="11" spans="1:14" ht="21" customHeight="1">
      <c r="A11" s="512">
        <f ca="1">IF(ROWS($1:1)&gt;COUNT(Dong6),"",OFFSET(TH!C$1,SMALL(Dong6,ROWS($1:1)),))</f>
        <v>42552</v>
      </c>
      <c r="B11" s="513" t="str">
        <f ca="1">IF(ROWS($1:1)&gt;COUNT(Dong6),"",OFFSET(TH!D$1,SMALL(Dong6,ROWS($1:1)),))</f>
        <v>T01</v>
      </c>
      <c r="C11" s="512">
        <f ca="1">IF(ROWS($1:1)&gt;COUNT(Dong6),"",OFFSET(TH!E$1,SMALL(Dong6,ROWS($1:1)),))</f>
        <v>42516</v>
      </c>
      <c r="D11" s="514" t="str">
        <f ca="1">IF(ROWS($1:1)&gt;COUNT(Dong6),"",OFFSET(TH!F$1,SMALL(Dong6,ROWS($1:1)),))</f>
        <v>Thu vốn góp</v>
      </c>
      <c r="E11" s="513">
        <f t="shared" ref="E11:E40" ca="1" si="0">IF(D11&lt;&gt;"",ROW()-10,"")</f>
        <v>1</v>
      </c>
      <c r="F11" s="515" t="str">
        <f ca="1">IF(ROWS($1:1)&gt;COUNT(Dong6),"",OFFSET(TH!L$1,SMALL(Dong6,ROWS($1:1)),))</f>
        <v>1111</v>
      </c>
      <c r="G11" s="515" t="str">
        <f ca="1">IF(ROWS($1:1)&gt;COUNT(Dong6),"",OFFSET(TH!M$1,SMALL(Dong6,ROWS($1:1)),))</f>
        <v>4111</v>
      </c>
      <c r="H11" s="447">
        <f ca="1">IF(ROWS($1:1)&gt;COUNT(Dong6),"",OFFSET(TH!K$1,SMALL(Dong6,ROWS($1:1)),))</f>
        <v>1800000000</v>
      </c>
      <c r="I11" s="447">
        <f ca="1">IF(ROWS($1:1)&gt;COUNT(Dong6),"",OFFSET(TH!K$1,SMALL(Dong6,ROWS($1:1)),))</f>
        <v>1800000000</v>
      </c>
    </row>
    <row r="12" spans="1:14" ht="21" customHeight="1">
      <c r="A12" s="512">
        <f ca="1">IF(ROWS($1:2)&gt;COUNT(Dong6),"",OFFSET(TH!C$1,SMALL(Dong6,ROWS($1:2)),))</f>
        <v>42552</v>
      </c>
      <c r="B12" s="513" t="str">
        <f ca="1">IF(ROWS($1:2)&gt;COUNT(Dong6),"",OFFSET(TH!D$1,SMALL(Dong6,ROWS($1:2)),))</f>
        <v>C01</v>
      </c>
      <c r="C12" s="512">
        <f ca="1">IF(ROWS($1:2)&gt;COUNT(Dong6),"",OFFSET(TH!E$1,SMALL(Dong6,ROWS($1:2)),))</f>
        <v>42516</v>
      </c>
      <c r="D12" s="514" t="str">
        <f ca="1">IF(ROWS($1:2)&gt;COUNT(Dong6),"",OFFSET(TH!F$1,SMALL(Dong6,ROWS($1:2)),))</f>
        <v>Nộp tiền mặt</v>
      </c>
      <c r="E12" s="513">
        <f t="shared" ca="1" si="0"/>
        <v>2</v>
      </c>
      <c r="F12" s="515" t="str">
        <f ca="1">IF(ROWS($1:2)&gt;COUNT(Dong6),"",OFFSET(TH!L$1,SMALL(Dong6,ROWS($1:2)),))</f>
        <v>1121</v>
      </c>
      <c r="G12" s="515" t="str">
        <f ca="1">IF(ROWS($1:2)&gt;COUNT(Dong6),"",OFFSET(TH!M$1,SMALL(Dong6,ROWS($1:2)),))</f>
        <v>1111</v>
      </c>
      <c r="H12" s="447">
        <f ca="1">IF(ROWS($1:2)&gt;COUNT(Dong6),"",OFFSET(TH!K$1,SMALL(Dong6,ROWS($1:2)),))</f>
        <v>2200000</v>
      </c>
      <c r="I12" s="447">
        <f ca="1">IF(ROWS($1:2)&gt;COUNT(Dong6),"",OFFSET(TH!K$1,SMALL(Dong6,ROWS($1:2)),))</f>
        <v>2200000</v>
      </c>
    </row>
    <row r="13" spans="1:14" ht="21" customHeight="1">
      <c r="A13" s="512">
        <f ca="1">IF(ROWS($1:3)&gt;COUNT(Dong6),"",OFFSET(TH!C$1,SMALL(Dong6,ROWS($1:3)),))</f>
        <v>42552</v>
      </c>
      <c r="B13" s="513" t="str">
        <f ca="1">IF(ROWS($1:3)&gt;COUNT(Dong6),"",OFFSET(TH!D$1,SMALL(Dong6,ROWS($1:3)),))</f>
        <v>C02</v>
      </c>
      <c r="C13" s="512">
        <f ca="1">IF(ROWS($1:3)&gt;COUNT(Dong6),"",OFFSET(TH!E$1,SMALL(Dong6,ROWS($1:3)),))</f>
        <v>42508</v>
      </c>
      <c r="D13" s="514" t="str">
        <f ca="1">IF(ROWS($1:3)&gt;COUNT(Dong6),"",OFFSET(TH!F$1,SMALL(Dong6,ROWS($1:3)),))</f>
        <v>Chữ ký số</v>
      </c>
      <c r="E13" s="513">
        <f t="shared" ca="1" si="0"/>
        <v>3</v>
      </c>
      <c r="F13" s="515" t="str">
        <f ca="1">IF(ROWS($1:3)&gt;COUNT(Dong6),"",OFFSET(TH!L$1,SMALL(Dong6,ROWS($1:3)),))</f>
        <v>642</v>
      </c>
      <c r="G13" s="515" t="str">
        <f ca="1">IF(ROWS($1:3)&gt;COUNT(Dong6),"",OFFSET(TH!M$1,SMALL(Dong6,ROWS($1:3)),))</f>
        <v>1111</v>
      </c>
      <c r="H13" s="447">
        <f ca="1">IF(ROWS($1:3)&gt;COUNT(Dong6),"",OFFSET(TH!K$1,SMALL(Dong6,ROWS($1:3)),))</f>
        <v>2160000</v>
      </c>
      <c r="I13" s="447">
        <f ca="1">IF(ROWS($1:3)&gt;COUNT(Dong6),"",OFFSET(TH!K$1,SMALL(Dong6,ROWS($1:3)),))</f>
        <v>2160000</v>
      </c>
    </row>
    <row r="14" spans="1:14" ht="21" customHeight="1">
      <c r="A14" s="512">
        <f ca="1">IF(ROWS($1:4)&gt;COUNT(Dong6),"",OFFSET(TH!C$1,SMALL(Dong6,ROWS($1:4)),))</f>
        <v>42552</v>
      </c>
      <c r="B14" s="513" t="str">
        <f ca="1">IF(ROWS($1:4)&gt;COUNT(Dong6),"",OFFSET(TH!D$1,SMALL(Dong6,ROWS($1:4)),))</f>
        <v>C02</v>
      </c>
      <c r="C14" s="512">
        <f ca="1">IF(ROWS($1:4)&gt;COUNT(Dong6),"",OFFSET(TH!E$1,SMALL(Dong6,ROWS($1:4)),))</f>
        <v>42508</v>
      </c>
      <c r="D14" s="514" t="str">
        <f ca="1">IF(ROWS($1:4)&gt;COUNT(Dong6),"",OFFSET(TH!F$1,SMALL(Dong6,ROWS($1:4)),))</f>
        <v>VAT Chữ ký số</v>
      </c>
      <c r="E14" s="513">
        <f t="shared" ca="1" si="0"/>
        <v>4</v>
      </c>
      <c r="F14" s="515" t="str">
        <f ca="1">IF(ROWS($1:4)&gt;COUNT(Dong6),"",OFFSET(TH!L$1,SMALL(Dong6,ROWS($1:4)),))</f>
        <v>1331</v>
      </c>
      <c r="G14" s="515" t="str">
        <f ca="1">IF(ROWS($1:4)&gt;COUNT(Dong6),"",OFFSET(TH!M$1,SMALL(Dong6,ROWS($1:4)),))</f>
        <v>1111</v>
      </c>
      <c r="H14" s="447">
        <f ca="1">IF(ROWS($1:4)&gt;COUNT(Dong6),"",OFFSET(TH!K$1,SMALL(Dong6,ROWS($1:4)),))</f>
        <v>216000</v>
      </c>
      <c r="I14" s="447">
        <f ca="1">IF(ROWS($1:4)&gt;COUNT(Dong6),"",OFFSET(TH!K$1,SMALL(Dong6,ROWS($1:4)),))</f>
        <v>216000</v>
      </c>
    </row>
    <row r="15" spans="1:14" ht="21" customHeight="1">
      <c r="A15" s="512">
        <f ca="1">IF(ROWS($1:5)&gt;COUNT(Dong6),"",OFFSET(TH!C$1,SMALL(Dong6,ROWS($1:5)),))</f>
        <v>42552</v>
      </c>
      <c r="B15" s="513" t="str">
        <f ca="1">IF(ROWS($1:5)&gt;COUNT(Dong6),"",OFFSET(TH!D$1,SMALL(Dong6,ROWS($1:5)),))</f>
        <v>GBN</v>
      </c>
      <c r="C15" s="512">
        <f ca="1">IF(ROWS($1:5)&gt;COUNT(Dong6),"",OFFSET(TH!E$1,SMALL(Dong6,ROWS($1:5)),))</f>
        <v>42516</v>
      </c>
      <c r="D15" s="514" t="str">
        <f ca="1">IF(ROWS($1:5)&gt;COUNT(Dong6),"",OFFSET(TH!F$1,SMALL(Dong6,ROWS($1:5)),))</f>
        <v>Phí bán 2 cuốn sec</v>
      </c>
      <c r="E15" s="513">
        <f t="shared" ca="1" si="0"/>
        <v>5</v>
      </c>
      <c r="F15" s="515" t="str">
        <f ca="1">IF(ROWS($1:5)&gt;COUNT(Dong6),"",OFFSET(TH!L$1,SMALL(Dong6,ROWS($1:5)),))</f>
        <v>642</v>
      </c>
      <c r="G15" s="515" t="str">
        <f ca="1">IF(ROWS($1:5)&gt;COUNT(Dong6),"",OFFSET(TH!M$1,SMALL(Dong6,ROWS($1:5)),))</f>
        <v>1121</v>
      </c>
      <c r="H15" s="447">
        <f ca="1">IF(ROWS($1:5)&gt;COUNT(Dong6),"",OFFSET(TH!K$1,SMALL(Dong6,ROWS($1:5)),))</f>
        <v>20000</v>
      </c>
      <c r="I15" s="447">
        <f ca="1">IF(ROWS($1:5)&gt;COUNT(Dong6),"",OFFSET(TH!K$1,SMALL(Dong6,ROWS($1:5)),))</f>
        <v>20000</v>
      </c>
    </row>
    <row r="16" spans="1:14" ht="21" customHeight="1">
      <c r="A16" s="512">
        <f ca="1">IF(ROWS($1:6)&gt;COUNT(Dong6),"",OFFSET(TH!C$1,SMALL(Dong6,ROWS($1:6)),))</f>
        <v>42552</v>
      </c>
      <c r="B16" s="513" t="str">
        <f ca="1">IF(ROWS($1:6)&gt;COUNT(Dong6),"",OFFSET(TH!D$1,SMALL(Dong6,ROWS($1:6)),))</f>
        <v>GBN</v>
      </c>
      <c r="C16" s="512">
        <f ca="1">IF(ROWS($1:6)&gt;COUNT(Dong6),"",OFFSET(TH!E$1,SMALL(Dong6,ROWS($1:6)),))</f>
        <v>42516</v>
      </c>
      <c r="D16" s="514" t="str">
        <f ca="1">IF(ROWS($1:6)&gt;COUNT(Dong6),"",OFFSET(TH!F$1,SMALL(Dong6,ROWS($1:6)),))</f>
        <v>VAT Phí bán 2 cuốn sec</v>
      </c>
      <c r="E16" s="513">
        <f t="shared" ca="1" si="0"/>
        <v>6</v>
      </c>
      <c r="F16" s="515" t="str">
        <f ca="1">IF(ROWS($1:6)&gt;COUNT(Dong6),"",OFFSET(TH!L$1,SMALL(Dong6,ROWS($1:6)),))</f>
        <v>1331</v>
      </c>
      <c r="G16" s="515" t="str">
        <f ca="1">IF(ROWS($1:6)&gt;COUNT(Dong6),"",OFFSET(TH!M$1,SMALL(Dong6,ROWS($1:6)),))</f>
        <v>1121</v>
      </c>
      <c r="H16" s="447">
        <f ca="1">IF(ROWS($1:6)&gt;COUNT(Dong6),"",OFFSET(TH!K$1,SMALL(Dong6,ROWS($1:6)),))</f>
        <v>2000</v>
      </c>
      <c r="I16" s="447">
        <f ca="1">IF(ROWS($1:6)&gt;COUNT(Dong6),"",OFFSET(TH!K$1,SMALL(Dong6,ROWS($1:6)),))</f>
        <v>2000</v>
      </c>
    </row>
    <row r="17" spans="1:9" ht="21" customHeight="1">
      <c r="A17" s="512">
        <f ca="1">IF(ROWS($1:7)&gt;COUNT(Dong6),"",OFFSET(TH!C$1,SMALL(Dong6,ROWS($1:7)),))</f>
        <v>42552</v>
      </c>
      <c r="B17" s="513" t="str">
        <f ca="1">IF(ROWS($1:7)&gt;COUNT(Dong6),"",OFFSET(TH!D$1,SMALL(Dong6,ROWS($1:7)),))</f>
        <v>C03</v>
      </c>
      <c r="C17" s="512">
        <f ca="1">IF(ROWS($1:7)&gt;COUNT(Dong6),"",OFFSET(TH!E$1,SMALL(Dong6,ROWS($1:7)),))</f>
        <v>42508</v>
      </c>
      <c r="D17" s="514" t="str">
        <f ca="1">IF(ROWS($1:7)&gt;COUNT(Dong6),"",OFFSET(TH!F$1,SMALL(Dong6,ROWS($1:7)),))</f>
        <v>Nộp thuế môn bài</v>
      </c>
      <c r="E17" s="513">
        <f t="shared" ca="1" si="0"/>
        <v>7</v>
      </c>
      <c r="F17" s="515" t="str">
        <f ca="1">IF(ROWS($1:7)&gt;COUNT(Dong6),"",OFFSET(TH!L$1,SMALL(Dong6,ROWS($1:7)),))</f>
        <v>33382</v>
      </c>
      <c r="G17" s="515" t="str">
        <f ca="1">IF(ROWS($1:7)&gt;COUNT(Dong6),"",OFFSET(TH!M$1,SMALL(Dong6,ROWS($1:7)),))</f>
        <v>1111</v>
      </c>
      <c r="H17" s="447">
        <f ca="1">IF(ROWS($1:7)&gt;COUNT(Dong6),"",OFFSET(TH!K$1,SMALL(Dong6,ROWS($1:7)),))</f>
        <v>1000000</v>
      </c>
      <c r="I17" s="447">
        <f ca="1">IF(ROWS($1:7)&gt;COUNT(Dong6),"",OFFSET(TH!K$1,SMALL(Dong6,ROWS($1:7)),))</f>
        <v>1000000</v>
      </c>
    </row>
    <row r="18" spans="1:9" ht="21" customHeight="1">
      <c r="A18" s="512">
        <f ca="1">IF(ROWS($1:8)&gt;COUNT(Dong6),"",OFFSET(TH!C$1,SMALL(Dong6,ROWS($1:8)),))</f>
        <v>42552</v>
      </c>
      <c r="B18" s="513" t="str">
        <f ca="1">IF(ROWS($1:8)&gt;COUNT(Dong6),"",OFFSET(TH!D$1,SMALL(Dong6,ROWS($1:8)),))</f>
        <v>CTGS</v>
      </c>
      <c r="C18" s="512">
        <f ca="1">IF(ROWS($1:8)&gt;COUNT(Dong6),"",OFFSET(TH!E$1,SMALL(Dong6,ROWS($1:8)),))</f>
        <v>42508</v>
      </c>
      <c r="D18" s="514" t="str">
        <f ca="1">IF(ROWS($1:8)&gt;COUNT(Dong6),"",OFFSET(TH!F$1,SMALL(Dong6,ROWS($1:8)),))</f>
        <v>Thuế môn bài phải nộp</v>
      </c>
      <c r="E18" s="513">
        <f t="shared" ca="1" si="0"/>
        <v>8</v>
      </c>
      <c r="F18" s="515" t="str">
        <f ca="1">IF(ROWS($1:8)&gt;COUNT(Dong6),"",OFFSET(TH!L$1,SMALL(Dong6,ROWS($1:8)),))</f>
        <v>642</v>
      </c>
      <c r="G18" s="515" t="str">
        <f ca="1">IF(ROWS($1:8)&gt;COUNT(Dong6),"",OFFSET(TH!M$1,SMALL(Dong6,ROWS($1:8)),))</f>
        <v>33382</v>
      </c>
      <c r="H18" s="447">
        <f ca="1">IF(ROWS($1:8)&gt;COUNT(Dong6),"",OFFSET(TH!K$1,SMALL(Dong6,ROWS($1:8)),))</f>
        <v>1000000</v>
      </c>
      <c r="I18" s="447">
        <f ca="1">IF(ROWS($1:8)&gt;COUNT(Dong6),"",OFFSET(TH!K$1,SMALL(Dong6,ROWS($1:8)),))</f>
        <v>1000000</v>
      </c>
    </row>
    <row r="19" spans="1:9" ht="21" customHeight="1">
      <c r="A19" s="512">
        <f ca="1">IF(ROWS($1:9)&gt;COUNT(Dong6),"",OFFSET(TH!C$1,SMALL(Dong6,ROWS($1:9)),))</f>
        <v>42552</v>
      </c>
      <c r="B19" s="513" t="str">
        <f ca="1">IF(ROWS($1:9)&gt;COUNT(Dong6),"",OFFSET(TH!D$1,SMALL(Dong6,ROWS($1:9)),))</f>
        <v>NL/N01</v>
      </c>
      <c r="C19" s="512">
        <f ca="1">IF(ROWS($1:9)&gt;COUNT(Dong6),"",OFFSET(TH!E$1,SMALL(Dong6,ROWS($1:9)),))</f>
        <v>42529</v>
      </c>
      <c r="D19" s="514" t="str">
        <f ca="1">IF(ROWS($1:9)&gt;COUNT(Dong6),"",OFFSET(TH!F$1,SMALL(Dong6,ROWS($1:9)),))</f>
        <v>Giấy cuộn xeo</v>
      </c>
      <c r="E19" s="513">
        <f t="shared" ca="1" si="0"/>
        <v>9</v>
      </c>
      <c r="F19" s="515" t="str">
        <f ca="1">IF(ROWS($1:9)&gt;COUNT(Dong6),"",OFFSET(TH!L$1,SMALL(Dong6,ROWS($1:9)),))</f>
        <v>1521</v>
      </c>
      <c r="G19" s="515" t="str">
        <f ca="1">IF(ROWS($1:9)&gt;COUNT(Dong6),"",OFFSET(TH!M$1,SMALL(Dong6,ROWS($1:9)),))</f>
        <v>331</v>
      </c>
      <c r="H19" s="447">
        <f ca="1">IF(ROWS($1:9)&gt;COUNT(Dong6),"",OFFSET(TH!K$1,SMALL(Dong6,ROWS($1:9)),))</f>
        <v>77160000</v>
      </c>
      <c r="I19" s="447">
        <f ca="1">IF(ROWS($1:9)&gt;COUNT(Dong6),"",OFFSET(TH!K$1,SMALL(Dong6,ROWS($1:9)),))</f>
        <v>77160000</v>
      </c>
    </row>
    <row r="20" spans="1:9" ht="21" customHeight="1">
      <c r="A20" s="512">
        <f ca="1">IF(ROWS($1:10)&gt;COUNT(Dong6),"",OFFSET(TH!C$1,SMALL(Dong6,ROWS($1:10)),))</f>
        <v>42552</v>
      </c>
      <c r="B20" s="513" t="str">
        <f ca="1">IF(ROWS($1:10)&gt;COUNT(Dong6),"",OFFSET(TH!D$1,SMALL(Dong6,ROWS($1:10)),))</f>
        <v>NL/N01</v>
      </c>
      <c r="C20" s="512">
        <f ca="1">IF(ROWS($1:10)&gt;COUNT(Dong6),"",OFFSET(TH!E$1,SMALL(Dong6,ROWS($1:10)),))</f>
        <v>42529</v>
      </c>
      <c r="D20" s="514" t="str">
        <f ca="1">IF(ROWS($1:10)&gt;COUNT(Dong6),"",OFFSET(TH!F$1,SMALL(Dong6,ROWS($1:10)),))</f>
        <v>VAT Giấy xeo</v>
      </c>
      <c r="E20" s="513">
        <f t="shared" ca="1" si="0"/>
        <v>10</v>
      </c>
      <c r="F20" s="515" t="str">
        <f ca="1">IF(ROWS($1:10)&gt;COUNT(Dong6),"",OFFSET(TH!L$1,SMALL(Dong6,ROWS($1:10)),))</f>
        <v>1331</v>
      </c>
      <c r="G20" s="515" t="str">
        <f ca="1">IF(ROWS($1:10)&gt;COUNT(Dong6),"",OFFSET(TH!M$1,SMALL(Dong6,ROWS($1:10)),))</f>
        <v>331</v>
      </c>
      <c r="H20" s="447">
        <f ca="1">IF(ROWS($1:10)&gt;COUNT(Dong6),"",OFFSET(TH!K$1,SMALL(Dong6,ROWS($1:10)),))</f>
        <v>7716000</v>
      </c>
      <c r="I20" s="447">
        <f ca="1">IF(ROWS($1:10)&gt;COUNT(Dong6),"",OFFSET(TH!K$1,SMALL(Dong6,ROWS($1:10)),))</f>
        <v>7716000</v>
      </c>
    </row>
    <row r="21" spans="1:9" ht="21" customHeight="1">
      <c r="A21" s="512">
        <f ca="1">IF(ROWS($1:11)&gt;COUNT(Dong6),"",OFFSET(TH!C$1,SMALL(Dong6,ROWS($1:11)),))</f>
        <v>42552</v>
      </c>
      <c r="B21" s="513" t="str">
        <f ca="1">IF(ROWS($1:11)&gt;COUNT(Dong6),"",OFFSET(TH!D$1,SMALL(Dong6,ROWS($1:11)),))</f>
        <v>C04</v>
      </c>
      <c r="C21" s="512">
        <f ca="1">IF(ROWS($1:11)&gt;COUNT(Dong6),"",OFFSET(TH!E$1,SMALL(Dong6,ROWS($1:11)),))</f>
        <v>42532</v>
      </c>
      <c r="D21" s="514" t="str">
        <f ca="1">IF(ROWS($1:11)&gt;COUNT(Dong6),"",OFFSET(TH!F$1,SMALL(Dong6,ROWS($1:11)),))</f>
        <v>Đặt in hóa đơn</v>
      </c>
      <c r="E21" s="513">
        <f t="shared" ca="1" si="0"/>
        <v>11</v>
      </c>
      <c r="F21" s="515" t="str">
        <f ca="1">IF(ROWS($1:11)&gt;COUNT(Dong6),"",OFFSET(TH!L$1,SMALL(Dong6,ROWS($1:11)),))</f>
        <v>642</v>
      </c>
      <c r="G21" s="515" t="str">
        <f ca="1">IF(ROWS($1:11)&gt;COUNT(Dong6),"",OFFSET(TH!M$1,SMALL(Dong6,ROWS($1:11)),))</f>
        <v>1111</v>
      </c>
      <c r="H21" s="447">
        <f ca="1">IF(ROWS($1:11)&gt;COUNT(Dong6),"",OFFSET(TH!K$1,SMALL(Dong6,ROWS($1:11)),))</f>
        <v>3800000</v>
      </c>
      <c r="I21" s="447">
        <f ca="1">IF(ROWS($1:11)&gt;COUNT(Dong6),"",OFFSET(TH!K$1,SMALL(Dong6,ROWS($1:11)),))</f>
        <v>3800000</v>
      </c>
    </row>
    <row r="22" spans="1:9" ht="21" customHeight="1">
      <c r="A22" s="512">
        <f ca="1">IF(ROWS($1:12)&gt;COUNT(Dong6),"",OFFSET(TH!C$1,SMALL(Dong6,ROWS($1:12)),))</f>
        <v>42552</v>
      </c>
      <c r="B22" s="513" t="str">
        <f ca="1">IF(ROWS($1:12)&gt;COUNT(Dong6),"",OFFSET(TH!D$1,SMALL(Dong6,ROWS($1:12)),))</f>
        <v>C04</v>
      </c>
      <c r="C22" s="512">
        <f ca="1">IF(ROWS($1:12)&gt;COUNT(Dong6),"",OFFSET(TH!E$1,SMALL(Dong6,ROWS($1:12)),))</f>
        <v>42532</v>
      </c>
      <c r="D22" s="514" t="str">
        <f ca="1">IF(ROWS($1:12)&gt;COUNT(Dong6),"",OFFSET(TH!F$1,SMALL(Dong6,ROWS($1:12)),))</f>
        <v>VAT Đặt in hóa đơn</v>
      </c>
      <c r="E22" s="513">
        <f t="shared" ca="1" si="0"/>
        <v>12</v>
      </c>
      <c r="F22" s="515" t="str">
        <f ca="1">IF(ROWS($1:12)&gt;COUNT(Dong6),"",OFFSET(TH!L$1,SMALL(Dong6,ROWS($1:12)),))</f>
        <v>1331</v>
      </c>
      <c r="G22" s="515" t="str">
        <f ca="1">IF(ROWS($1:12)&gt;COUNT(Dong6),"",OFFSET(TH!M$1,SMALL(Dong6,ROWS($1:12)),))</f>
        <v>1111</v>
      </c>
      <c r="H22" s="447">
        <f ca="1">IF(ROWS($1:12)&gt;COUNT(Dong6),"",OFFSET(TH!K$1,SMALL(Dong6,ROWS($1:12)),))</f>
        <v>380000</v>
      </c>
      <c r="I22" s="447">
        <f ca="1">IF(ROWS($1:12)&gt;COUNT(Dong6),"",OFFSET(TH!K$1,SMALL(Dong6,ROWS($1:12)),))</f>
        <v>380000</v>
      </c>
    </row>
    <row r="23" spans="1:9" ht="21" customHeight="1">
      <c r="A23" s="512">
        <f ca="1">IF(ROWS($1:13)&gt;COUNT(Dong6),"",OFFSET(TH!C$1,SMALL(Dong6,ROWS($1:13)),))</f>
        <v>42552</v>
      </c>
      <c r="B23" s="513" t="str">
        <f ca="1">IF(ROWS($1:13)&gt;COUNT(Dong6),"",OFFSET(TH!D$1,SMALL(Dong6,ROWS($1:13)),))</f>
        <v>NL/N02</v>
      </c>
      <c r="C23" s="512">
        <f ca="1">IF(ROWS($1:13)&gt;COUNT(Dong6),"",OFFSET(TH!E$1,SMALL(Dong6,ROWS($1:13)),))</f>
        <v>42542</v>
      </c>
      <c r="D23" s="514" t="str">
        <f ca="1">IF(ROWS($1:13)&gt;COUNT(Dong6),"",OFFSET(TH!F$1,SMALL(Dong6,ROWS($1:13)),))</f>
        <v>Giấy cuộn xeo</v>
      </c>
      <c r="E23" s="513">
        <f t="shared" ca="1" si="0"/>
        <v>13</v>
      </c>
      <c r="F23" s="515" t="str">
        <f ca="1">IF(ROWS($1:13)&gt;COUNT(Dong6),"",OFFSET(TH!L$1,SMALL(Dong6,ROWS($1:13)),))</f>
        <v>1521</v>
      </c>
      <c r="G23" s="515" t="str">
        <f ca="1">IF(ROWS($1:13)&gt;COUNT(Dong6),"",OFFSET(TH!M$1,SMALL(Dong6,ROWS($1:13)),))</f>
        <v>331</v>
      </c>
      <c r="H23" s="447">
        <f ca="1">IF(ROWS($1:13)&gt;COUNT(Dong6),"",OFFSET(TH!K$1,SMALL(Dong6,ROWS($1:13)),))</f>
        <v>31114400</v>
      </c>
      <c r="I23" s="447">
        <f ca="1">IF(ROWS($1:13)&gt;COUNT(Dong6),"",OFFSET(TH!K$1,SMALL(Dong6,ROWS($1:13)),))</f>
        <v>31114400</v>
      </c>
    </row>
    <row r="24" spans="1:9" ht="21" customHeight="1">
      <c r="A24" s="512">
        <f ca="1">IF(ROWS($1:14)&gt;COUNT(Dong6),"",OFFSET(TH!C$1,SMALL(Dong6,ROWS($1:14)),))</f>
        <v>42552</v>
      </c>
      <c r="B24" s="513" t="str">
        <f ca="1">IF(ROWS($1:14)&gt;COUNT(Dong6),"",OFFSET(TH!D$1,SMALL(Dong6,ROWS($1:14)),))</f>
        <v>NL/N02</v>
      </c>
      <c r="C24" s="512">
        <f ca="1">IF(ROWS($1:14)&gt;COUNT(Dong6),"",OFFSET(TH!E$1,SMALL(Dong6,ROWS($1:14)),))</f>
        <v>42542</v>
      </c>
      <c r="D24" s="514" t="str">
        <f ca="1">IF(ROWS($1:14)&gt;COUNT(Dong6),"",OFFSET(TH!F$1,SMALL(Dong6,ROWS($1:14)),))</f>
        <v>Giấy nâu</v>
      </c>
      <c r="E24" s="513">
        <f t="shared" ca="1" si="0"/>
        <v>14</v>
      </c>
      <c r="F24" s="515" t="str">
        <f ca="1">IF(ROWS($1:14)&gt;COUNT(Dong6),"",OFFSET(TH!L$1,SMALL(Dong6,ROWS($1:14)),))</f>
        <v>1521</v>
      </c>
      <c r="G24" s="515" t="str">
        <f ca="1">IF(ROWS($1:14)&gt;COUNT(Dong6),"",OFFSET(TH!M$1,SMALL(Dong6,ROWS($1:14)),))</f>
        <v>331</v>
      </c>
      <c r="H24" s="447">
        <f ca="1">IF(ROWS($1:14)&gt;COUNT(Dong6),"",OFFSET(TH!K$1,SMALL(Dong6,ROWS($1:14)),))</f>
        <v>38437000</v>
      </c>
      <c r="I24" s="447">
        <f ca="1">IF(ROWS($1:14)&gt;COUNT(Dong6),"",OFFSET(TH!K$1,SMALL(Dong6,ROWS($1:14)),))</f>
        <v>38437000</v>
      </c>
    </row>
    <row r="25" spans="1:9" ht="21" customHeight="1">
      <c r="A25" s="512">
        <f ca="1">IF(ROWS($1:15)&gt;COUNT(Dong6),"",OFFSET(TH!C$1,SMALL(Dong6,ROWS($1:15)),))</f>
        <v>42552</v>
      </c>
      <c r="B25" s="513" t="str">
        <f ca="1">IF(ROWS($1:15)&gt;COUNT(Dong6),"",OFFSET(TH!D$1,SMALL(Dong6,ROWS($1:15)),))</f>
        <v>NL/N02</v>
      </c>
      <c r="C25" s="512">
        <f ca="1">IF(ROWS($1:15)&gt;COUNT(Dong6),"",OFFSET(TH!E$1,SMALL(Dong6,ROWS($1:15)),))</f>
        <v>42542</v>
      </c>
      <c r="D25" s="514" t="str">
        <f ca="1">IF(ROWS($1:15)&gt;COUNT(Dong6),"",OFFSET(TH!F$1,SMALL(Dong6,ROWS($1:15)),))</f>
        <v>Giấy xeo gia keo chống thấm</v>
      </c>
      <c r="E25" s="513">
        <f t="shared" ca="1" si="0"/>
        <v>15</v>
      </c>
      <c r="F25" s="515" t="str">
        <f ca="1">IF(ROWS($1:15)&gt;COUNT(Dong6),"",OFFSET(TH!L$1,SMALL(Dong6,ROWS($1:15)),))</f>
        <v>1521</v>
      </c>
      <c r="G25" s="515" t="str">
        <f ca="1">IF(ROWS($1:15)&gt;COUNT(Dong6),"",OFFSET(TH!M$1,SMALL(Dong6,ROWS($1:15)),))</f>
        <v>331</v>
      </c>
      <c r="H25" s="447">
        <f ca="1">IF(ROWS($1:15)&gt;COUNT(Dong6),"",OFFSET(TH!K$1,SMALL(Dong6,ROWS($1:15)),))</f>
        <v>22380500</v>
      </c>
      <c r="I25" s="447">
        <f ca="1">IF(ROWS($1:15)&gt;COUNT(Dong6),"",OFFSET(TH!K$1,SMALL(Dong6,ROWS($1:15)),))</f>
        <v>22380500</v>
      </c>
    </row>
    <row r="26" spans="1:9" ht="21" customHeight="1">
      <c r="A26" s="512">
        <f ca="1">IF(ROWS($1:16)&gt;COUNT(Dong6),"",OFFSET(TH!C$1,SMALL(Dong6,ROWS($1:16)),))</f>
        <v>42552</v>
      </c>
      <c r="B26" s="513" t="str">
        <f ca="1">IF(ROWS($1:16)&gt;COUNT(Dong6),"",OFFSET(TH!D$1,SMALL(Dong6,ROWS($1:16)),))</f>
        <v>NL/N02</v>
      </c>
      <c r="C26" s="512">
        <f ca="1">IF(ROWS($1:16)&gt;COUNT(Dong6),"",OFFSET(TH!E$1,SMALL(Dong6,ROWS($1:16)),))</f>
        <v>42542</v>
      </c>
      <c r="D26" s="514" t="str">
        <f ca="1">IF(ROWS($1:16)&gt;COUNT(Dong6),"",OFFSET(TH!F$1,SMALL(Dong6,ROWS($1:16)),))</f>
        <v>VAT Giấy màu vàng, xeo gia keo chống thấm</v>
      </c>
      <c r="E26" s="513">
        <f t="shared" ca="1" si="0"/>
        <v>16</v>
      </c>
      <c r="F26" s="515" t="str">
        <f ca="1">IF(ROWS($1:16)&gt;COUNT(Dong6),"",OFFSET(TH!L$1,SMALL(Dong6,ROWS($1:16)),))</f>
        <v>1331</v>
      </c>
      <c r="G26" s="515" t="str">
        <f ca="1">IF(ROWS($1:16)&gt;COUNT(Dong6),"",OFFSET(TH!M$1,SMALL(Dong6,ROWS($1:16)),))</f>
        <v>331</v>
      </c>
      <c r="H26" s="447">
        <f ca="1">IF(ROWS($1:16)&gt;COUNT(Dong6),"",OFFSET(TH!K$1,SMALL(Dong6,ROWS($1:16)),))</f>
        <v>9193190</v>
      </c>
      <c r="I26" s="447">
        <f ca="1">IF(ROWS($1:16)&gt;COUNT(Dong6),"",OFFSET(TH!K$1,SMALL(Dong6,ROWS($1:16)),))</f>
        <v>9193190</v>
      </c>
    </row>
    <row r="27" spans="1:9" ht="21" customHeight="1">
      <c r="A27" s="512">
        <f ca="1">IF(ROWS($1:17)&gt;COUNT(Dong6),"",OFFSET(TH!C$1,SMALL(Dong6,ROWS($1:17)),))</f>
        <v>42552</v>
      </c>
      <c r="B27" s="513" t="str">
        <f ca="1">IF(ROWS($1:17)&gt;COUNT(Dong6),"",OFFSET(TH!D$1,SMALL(Dong6,ROWS($1:17)),))</f>
        <v>GBC</v>
      </c>
      <c r="C27" s="512">
        <f ca="1">IF(ROWS($1:17)&gt;COUNT(Dong6),"",OFFSET(TH!E$1,SMALL(Dong6,ROWS($1:17)),))</f>
        <v>42546</v>
      </c>
      <c r="D27" s="514" t="str">
        <f ca="1">IF(ROWS($1:17)&gt;COUNT(Dong6),"",OFFSET(TH!F$1,SMALL(Dong6,ROWS($1:17)),))</f>
        <v>Lãi tiền gửi</v>
      </c>
      <c r="E27" s="513">
        <f t="shared" ca="1" si="0"/>
        <v>17</v>
      </c>
      <c r="F27" s="515" t="str">
        <f ca="1">IF(ROWS($1:17)&gt;COUNT(Dong6),"",OFFSET(TH!L$1,SMALL(Dong6,ROWS($1:17)),))</f>
        <v>1121</v>
      </c>
      <c r="G27" s="515" t="str">
        <f ca="1">IF(ROWS($1:17)&gt;COUNT(Dong6),"",OFFSET(TH!M$1,SMALL(Dong6,ROWS($1:17)),))</f>
        <v>515</v>
      </c>
      <c r="H27" s="447">
        <f ca="1">IF(ROWS($1:17)&gt;COUNT(Dong6),"",OFFSET(TH!K$1,SMALL(Dong6,ROWS($1:17)),))</f>
        <v>1500</v>
      </c>
      <c r="I27" s="447">
        <f ca="1">IF(ROWS($1:17)&gt;COUNT(Dong6),"",OFFSET(TH!K$1,SMALL(Dong6,ROWS($1:17)),))</f>
        <v>1500</v>
      </c>
    </row>
    <row r="28" spans="1:9" ht="21" customHeight="1">
      <c r="A28" s="512">
        <f ca="1">IF(ROWS($1:18)&gt;COUNT(Dong6),"",OFFSET(TH!C$1,SMALL(Dong6,ROWS($1:18)),))</f>
        <v>42552</v>
      </c>
      <c r="B28" s="513" t="str">
        <f ca="1">IF(ROWS($1:18)&gt;COUNT(Dong6),"",OFFSET(TH!D$1,SMALL(Dong6,ROWS($1:18)),))</f>
        <v>GBN</v>
      </c>
      <c r="C28" s="512">
        <f ca="1">IF(ROWS($1:18)&gt;COUNT(Dong6),"",OFFSET(TH!E$1,SMALL(Dong6,ROWS($1:18)),))</f>
        <v>42546</v>
      </c>
      <c r="D28" s="514" t="str">
        <f ca="1">IF(ROWS($1:18)&gt;COUNT(Dong6),"",OFFSET(TH!F$1,SMALL(Dong6,ROWS($1:18)),))</f>
        <v>Phí quản lý tài khoản</v>
      </c>
      <c r="E28" s="513">
        <f t="shared" ca="1" si="0"/>
        <v>18</v>
      </c>
      <c r="F28" s="515" t="str">
        <f ca="1">IF(ROWS($1:18)&gt;COUNT(Dong6),"",OFFSET(TH!L$1,SMALL(Dong6,ROWS($1:18)),))</f>
        <v>642</v>
      </c>
      <c r="G28" s="515" t="str">
        <f ca="1">IF(ROWS($1:18)&gt;COUNT(Dong6),"",OFFSET(TH!M$1,SMALL(Dong6,ROWS($1:18)),))</f>
        <v>1121</v>
      </c>
      <c r="H28" s="447">
        <f ca="1">IF(ROWS($1:18)&gt;COUNT(Dong6),"",OFFSET(TH!K$1,SMALL(Dong6,ROWS($1:18)),))</f>
        <v>10000</v>
      </c>
      <c r="I28" s="447">
        <f ca="1">IF(ROWS($1:18)&gt;COUNT(Dong6),"",OFFSET(TH!K$1,SMALL(Dong6,ROWS($1:18)),))</f>
        <v>10000</v>
      </c>
    </row>
    <row r="29" spans="1:9" ht="21" customHeight="1">
      <c r="A29" s="512">
        <f ca="1">IF(ROWS($1:19)&gt;COUNT(Dong6),"",OFFSET(TH!C$1,SMALL(Dong6,ROWS($1:19)),))</f>
        <v>42552</v>
      </c>
      <c r="B29" s="513" t="str">
        <f ca="1">IF(ROWS($1:19)&gt;COUNT(Dong6),"",OFFSET(TH!D$1,SMALL(Dong6,ROWS($1:19)),))</f>
        <v>GBN</v>
      </c>
      <c r="C29" s="512">
        <f ca="1">IF(ROWS($1:19)&gt;COUNT(Dong6),"",OFFSET(TH!E$1,SMALL(Dong6,ROWS($1:19)),))</f>
        <v>42546</v>
      </c>
      <c r="D29" s="514" t="str">
        <f ca="1">IF(ROWS($1:19)&gt;COUNT(Dong6),"",OFFSET(TH!F$1,SMALL(Dong6,ROWS($1:19)),))</f>
        <v>VAT Phí quản lý tài khoản</v>
      </c>
      <c r="E29" s="513">
        <f t="shared" ca="1" si="0"/>
        <v>19</v>
      </c>
      <c r="F29" s="515" t="str">
        <f ca="1">IF(ROWS($1:19)&gt;COUNT(Dong6),"",OFFSET(TH!L$1,SMALL(Dong6,ROWS($1:19)),))</f>
        <v>1331</v>
      </c>
      <c r="G29" s="515" t="str">
        <f ca="1">IF(ROWS($1:19)&gt;COUNT(Dong6),"",OFFSET(TH!M$1,SMALL(Dong6,ROWS($1:19)),))</f>
        <v>1121</v>
      </c>
      <c r="H29" s="447">
        <f ca="1">IF(ROWS($1:19)&gt;COUNT(Dong6),"",OFFSET(TH!K$1,SMALL(Dong6,ROWS($1:19)),))</f>
        <v>1000</v>
      </c>
      <c r="I29" s="447">
        <f ca="1">IF(ROWS($1:19)&gt;COUNT(Dong6),"",OFFSET(TH!K$1,SMALL(Dong6,ROWS($1:19)),))</f>
        <v>1000</v>
      </c>
    </row>
    <row r="30" spans="1:9" ht="21" customHeight="1">
      <c r="A30" s="512">
        <f ca="1">IF(ROWS($1:20)&gt;COUNT(Dong6),"",OFFSET(TH!C$1,SMALL(Dong6,ROWS($1:20)),))</f>
        <v>42552</v>
      </c>
      <c r="B30" s="513" t="str">
        <f ca="1">IF(ROWS($1:20)&gt;COUNT(Dong6),"",OFFSET(TH!D$1,SMALL(Dong6,ROWS($1:20)),))</f>
        <v>NL/N03</v>
      </c>
      <c r="C30" s="512">
        <f ca="1">IF(ROWS($1:20)&gt;COUNT(Dong6),"",OFFSET(TH!E$1,SMALL(Dong6,ROWS($1:20)),))</f>
        <v>42551</v>
      </c>
      <c r="D30" s="514" t="str">
        <f ca="1">IF(ROWS($1:20)&gt;COUNT(Dong6),"",OFFSET(TH!F$1,SMALL(Dong6,ROWS($1:20)),))</f>
        <v>Giấy cuộn xeo</v>
      </c>
      <c r="E30" s="513">
        <f t="shared" ca="1" si="0"/>
        <v>20</v>
      </c>
      <c r="F30" s="515" t="str">
        <f ca="1">IF(ROWS($1:20)&gt;COUNT(Dong6),"",OFFSET(TH!L$1,SMALL(Dong6,ROWS($1:20)),))</f>
        <v>1521</v>
      </c>
      <c r="G30" s="515" t="str">
        <f ca="1">IF(ROWS($1:20)&gt;COUNT(Dong6),"",OFFSET(TH!M$1,SMALL(Dong6,ROWS($1:20)),))</f>
        <v>331</v>
      </c>
      <c r="H30" s="447">
        <f ca="1">IF(ROWS($1:20)&gt;COUNT(Dong6),"",OFFSET(TH!K$1,SMALL(Dong6,ROWS($1:20)),))</f>
        <v>47317600</v>
      </c>
      <c r="I30" s="447">
        <f ca="1">IF(ROWS($1:20)&gt;COUNT(Dong6),"",OFFSET(TH!K$1,SMALL(Dong6,ROWS($1:20)),))</f>
        <v>47317600</v>
      </c>
    </row>
    <row r="31" spans="1:9" ht="21" customHeight="1">
      <c r="A31" s="512">
        <f ca="1">IF(ROWS($1:21)&gt;COUNT(Dong6),"",OFFSET(TH!C$1,SMALL(Dong6,ROWS($1:21)),))</f>
        <v>42552</v>
      </c>
      <c r="B31" s="513" t="str">
        <f ca="1">IF(ROWS($1:21)&gt;COUNT(Dong6),"",OFFSET(TH!D$1,SMALL(Dong6,ROWS($1:21)),))</f>
        <v>NL/N03</v>
      </c>
      <c r="C31" s="512">
        <f ca="1">IF(ROWS($1:21)&gt;COUNT(Dong6),"",OFFSET(TH!E$1,SMALL(Dong6,ROWS($1:21)),))</f>
        <v>42551</v>
      </c>
      <c r="D31" s="514" t="str">
        <f ca="1">IF(ROWS($1:21)&gt;COUNT(Dong6),"",OFFSET(TH!F$1,SMALL(Dong6,ROWS($1:21)),))</f>
        <v>Giấy nâu</v>
      </c>
      <c r="E31" s="513">
        <f t="shared" ca="1" si="0"/>
        <v>21</v>
      </c>
      <c r="F31" s="515" t="str">
        <f ca="1">IF(ROWS($1:21)&gt;COUNT(Dong6),"",OFFSET(TH!L$1,SMALL(Dong6,ROWS($1:21)),))</f>
        <v>1521</v>
      </c>
      <c r="G31" s="515" t="str">
        <f ca="1">IF(ROWS($1:21)&gt;COUNT(Dong6),"",OFFSET(TH!M$1,SMALL(Dong6,ROWS($1:21)),))</f>
        <v>331</v>
      </c>
      <c r="H31" s="447">
        <f ca="1">IF(ROWS($1:21)&gt;COUNT(Dong6),"",OFFSET(TH!K$1,SMALL(Dong6,ROWS($1:21)),))</f>
        <v>74205000</v>
      </c>
      <c r="I31" s="447">
        <f ca="1">IF(ROWS($1:21)&gt;COUNT(Dong6),"",OFFSET(TH!K$1,SMALL(Dong6,ROWS($1:21)),))</f>
        <v>74205000</v>
      </c>
    </row>
    <row r="32" spans="1:9" ht="21" customHeight="1">
      <c r="A32" s="512">
        <f ca="1">IF(ROWS($1:22)&gt;COUNT(Dong6),"",OFFSET(TH!C$1,SMALL(Dong6,ROWS($1:22)),))</f>
        <v>42552</v>
      </c>
      <c r="B32" s="513" t="str">
        <f ca="1">IF(ROWS($1:22)&gt;COUNT(Dong6),"",OFFSET(TH!D$1,SMALL(Dong6,ROWS($1:22)),))</f>
        <v>NL/N03</v>
      </c>
      <c r="C32" s="512">
        <f ca="1">IF(ROWS($1:22)&gt;COUNT(Dong6),"",OFFSET(TH!E$1,SMALL(Dong6,ROWS($1:22)),))</f>
        <v>42551</v>
      </c>
      <c r="D32" s="514" t="str">
        <f ca="1">IF(ROWS($1:22)&gt;COUNT(Dong6),"",OFFSET(TH!F$1,SMALL(Dong6,ROWS($1:22)),))</f>
        <v>Giấy xeo gia keo chống thấm</v>
      </c>
      <c r="E32" s="513">
        <f t="shared" ca="1" si="0"/>
        <v>22</v>
      </c>
      <c r="F32" s="515" t="str">
        <f ca="1">IF(ROWS($1:22)&gt;COUNT(Dong6),"",OFFSET(TH!L$1,SMALL(Dong6,ROWS($1:22)),))</f>
        <v>1521</v>
      </c>
      <c r="G32" s="515" t="str">
        <f ca="1">IF(ROWS($1:22)&gt;COUNT(Dong6),"",OFFSET(TH!M$1,SMALL(Dong6,ROWS($1:22)),))</f>
        <v>331</v>
      </c>
      <c r="H32" s="447">
        <f ca="1">IF(ROWS($1:22)&gt;COUNT(Dong6),"",OFFSET(TH!K$1,SMALL(Dong6,ROWS($1:22)),))</f>
        <v>69623500</v>
      </c>
      <c r="I32" s="447">
        <f ca="1">IF(ROWS($1:22)&gt;COUNT(Dong6),"",OFFSET(TH!K$1,SMALL(Dong6,ROWS($1:22)),))</f>
        <v>69623500</v>
      </c>
    </row>
    <row r="33" spans="1:9" ht="21" customHeight="1">
      <c r="A33" s="512">
        <f ca="1">IF(ROWS($1:23)&gt;COUNT(Dong6),"",OFFSET(TH!C$1,SMALL(Dong6,ROWS($1:23)),))</f>
        <v>42552</v>
      </c>
      <c r="B33" s="513" t="str">
        <f ca="1">IF(ROWS($1:23)&gt;COUNT(Dong6),"",OFFSET(TH!D$1,SMALL(Dong6,ROWS($1:23)),))</f>
        <v>NL/N03</v>
      </c>
      <c r="C33" s="512">
        <f ca="1">IF(ROWS($1:23)&gt;COUNT(Dong6),"",OFFSET(TH!E$1,SMALL(Dong6,ROWS($1:23)),))</f>
        <v>42551</v>
      </c>
      <c r="D33" s="514" t="str">
        <f ca="1">IF(ROWS($1:23)&gt;COUNT(Dong6),"",OFFSET(TH!F$1,SMALL(Dong6,ROWS($1:23)),))</f>
        <v>VAT Giấy màu vàng, xeo gia keo chống thấm</v>
      </c>
      <c r="E33" s="513">
        <f t="shared" ca="1" si="0"/>
        <v>23</v>
      </c>
      <c r="F33" s="515" t="str">
        <f ca="1">IF(ROWS($1:23)&gt;COUNT(Dong6),"",OFFSET(TH!L$1,SMALL(Dong6,ROWS($1:23)),))</f>
        <v>1331</v>
      </c>
      <c r="G33" s="515" t="str">
        <f ca="1">IF(ROWS($1:23)&gt;COUNT(Dong6),"",OFFSET(TH!M$1,SMALL(Dong6,ROWS($1:23)),))</f>
        <v>331</v>
      </c>
      <c r="H33" s="447">
        <f ca="1">IF(ROWS($1:23)&gt;COUNT(Dong6),"",OFFSET(TH!K$1,SMALL(Dong6,ROWS($1:23)),))</f>
        <v>19114610</v>
      </c>
      <c r="I33" s="447">
        <f ca="1">IF(ROWS($1:23)&gt;COUNT(Dong6),"",OFFSET(TH!K$1,SMALL(Dong6,ROWS($1:23)),))</f>
        <v>19114610</v>
      </c>
    </row>
    <row r="34" spans="1:9" ht="21" customHeight="1">
      <c r="A34" s="512">
        <f ca="1">IF(ROWS($1:24)&gt;COUNT(Dong6),"",OFFSET(TH!C$1,SMALL(Dong6,ROWS($1:24)),))</f>
        <v>42552</v>
      </c>
      <c r="B34" s="513" t="str">
        <f ca="1">IF(ROWS($1:24)&gt;COUNT(Dong6),"",OFFSET(TH!D$1,SMALL(Dong6,ROWS($1:24)),))</f>
        <v>CTGS</v>
      </c>
      <c r="C34" s="512">
        <f ca="1">IF(ROWS($1:24)&gt;COUNT(Dong6),"",OFFSET(TH!E$1,SMALL(Dong6,ROWS($1:24)),))</f>
        <v>42552</v>
      </c>
      <c r="D34" s="514" t="str">
        <f ca="1">IF(ROWS($1:24)&gt;COUNT(Dong6),"",OFFSET(TH!F$1,SMALL(Dong6,ROWS($1:24)),))</f>
        <v>Trích khấu hao TSCĐ Hữu hình</v>
      </c>
      <c r="E34" s="513">
        <f t="shared" ca="1" si="0"/>
        <v>24</v>
      </c>
      <c r="F34" s="515" t="str">
        <f ca="1">IF(ROWS($1:24)&gt;COUNT(Dong6),"",OFFSET(TH!L$1,SMALL(Dong6,ROWS($1:24)),))</f>
        <v>154</v>
      </c>
      <c r="G34" s="515" t="str">
        <f ca="1">IF(ROWS($1:24)&gt;COUNT(Dong6),"",OFFSET(TH!M$1,SMALL(Dong6,ROWS($1:24)),))</f>
        <v>2141</v>
      </c>
      <c r="H34" s="447">
        <f ca="1">IF(ROWS($1:24)&gt;COUNT(Dong6),"",OFFSET(TH!K$1,SMALL(Dong6,ROWS($1:24)),))</f>
        <v>13250000</v>
      </c>
      <c r="I34" s="447">
        <f ca="1">IF(ROWS($1:24)&gt;COUNT(Dong6),"",OFFSET(TH!K$1,SMALL(Dong6,ROWS($1:24)),))</f>
        <v>13250000</v>
      </c>
    </row>
    <row r="35" spans="1:9" ht="21" customHeight="1">
      <c r="A35" s="512">
        <f ca="1">IF(ROWS($1:25)&gt;COUNT(Dong6),"",OFFSET(TH!C$1,SMALL(Dong6,ROWS($1:25)),))</f>
        <v>42559</v>
      </c>
      <c r="B35" s="513" t="str">
        <f ca="1">IF(ROWS($1:25)&gt;COUNT(Dong6),"",OFFSET(TH!D$1,SMALL(Dong6,ROWS($1:25)),))</f>
        <v>C05</v>
      </c>
      <c r="C35" s="512">
        <f ca="1">IF(ROWS($1:25)&gt;COUNT(Dong6),"",OFFSET(TH!E$1,SMALL(Dong6,ROWS($1:25)),))</f>
        <v>42559</v>
      </c>
      <c r="D35" s="514" t="str">
        <f ca="1">IF(ROWS($1:25)&gt;COUNT(Dong6),"",OFFSET(TH!F$1,SMALL(Dong6,ROWS($1:25)),))</f>
        <v>Nộp tiền mặt</v>
      </c>
      <c r="E35" s="513">
        <f t="shared" ca="1" si="0"/>
        <v>25</v>
      </c>
      <c r="F35" s="515" t="str">
        <f ca="1">IF(ROWS($1:25)&gt;COUNT(Dong6),"",OFFSET(TH!L$1,SMALL(Dong6,ROWS($1:25)),))</f>
        <v>1121</v>
      </c>
      <c r="G35" s="515" t="str">
        <f ca="1">IF(ROWS($1:25)&gt;COUNT(Dong6),"",OFFSET(TH!M$1,SMALL(Dong6,ROWS($1:25)),))</f>
        <v>1111</v>
      </c>
      <c r="H35" s="447">
        <f ca="1">IF(ROWS($1:25)&gt;COUNT(Dong6),"",OFFSET(TH!K$1,SMALL(Dong6,ROWS($1:25)),))</f>
        <v>40700000</v>
      </c>
      <c r="I35" s="447">
        <f ca="1">IF(ROWS($1:25)&gt;COUNT(Dong6),"",OFFSET(TH!K$1,SMALL(Dong6,ROWS($1:25)),))</f>
        <v>40700000</v>
      </c>
    </row>
    <row r="36" spans="1:9" ht="21" customHeight="1">
      <c r="A36" s="512">
        <f ca="1">IF(ROWS($1:26)&gt;COUNT(Dong6),"",OFFSET(TH!C$1,SMALL(Dong6,ROWS($1:26)),))</f>
        <v>42559</v>
      </c>
      <c r="B36" s="513" t="str">
        <f ca="1">IF(ROWS($1:26)&gt;COUNT(Dong6),"",OFFSET(TH!D$1,SMALL(Dong6,ROWS($1:26)),))</f>
        <v>GBN</v>
      </c>
      <c r="C36" s="512">
        <f ca="1">IF(ROWS($1:26)&gt;COUNT(Dong6),"",OFFSET(TH!E$1,SMALL(Dong6,ROWS($1:26)),))</f>
        <v>42559</v>
      </c>
      <c r="D36" s="514" t="str">
        <f ca="1">IF(ROWS($1:26)&gt;COUNT(Dong6),"",OFFSET(TH!F$1,SMALL(Dong6,ROWS($1:26)),))</f>
        <v>Thanh toán tiền thuê kho</v>
      </c>
      <c r="E36" s="513">
        <f t="shared" ca="1" si="0"/>
        <v>26</v>
      </c>
      <c r="F36" s="515" t="str">
        <f ca="1">IF(ROWS($1:26)&gt;COUNT(Dong6),"",OFFSET(TH!L$1,SMALL(Dong6,ROWS($1:26)),))</f>
        <v>331</v>
      </c>
      <c r="G36" s="515" t="str">
        <f ca="1">IF(ROWS($1:26)&gt;COUNT(Dong6),"",OFFSET(TH!M$1,SMALL(Dong6,ROWS($1:26)),))</f>
        <v>1121</v>
      </c>
      <c r="H36" s="447">
        <f ca="1">IF(ROWS($1:26)&gt;COUNT(Dong6),"",OFFSET(TH!K$1,SMALL(Dong6,ROWS($1:26)),))</f>
        <v>40700000</v>
      </c>
      <c r="I36" s="447">
        <f ca="1">IF(ROWS($1:26)&gt;COUNT(Dong6),"",OFFSET(TH!K$1,SMALL(Dong6,ROWS($1:26)),))</f>
        <v>40700000</v>
      </c>
    </row>
    <row r="37" spans="1:9" ht="21" customHeight="1">
      <c r="A37" s="512">
        <f ca="1">IF(ROWS($1:27)&gt;COUNT(Dong6),"",OFFSET(TH!C$1,SMALL(Dong6,ROWS($1:27)),))</f>
        <v>42559</v>
      </c>
      <c r="B37" s="513" t="str">
        <f ca="1">IF(ROWS($1:27)&gt;COUNT(Dong6),"",OFFSET(TH!D$1,SMALL(Dong6,ROWS($1:27)),))</f>
        <v>GBN</v>
      </c>
      <c r="C37" s="512">
        <f ca="1">IF(ROWS($1:27)&gt;COUNT(Dong6),"",OFFSET(TH!E$1,SMALL(Dong6,ROWS($1:27)),))</f>
        <v>42559</v>
      </c>
      <c r="D37" s="514" t="str">
        <f ca="1">IF(ROWS($1:27)&gt;COUNT(Dong6),"",OFFSET(TH!F$1,SMALL(Dong6,ROWS($1:27)),))</f>
        <v>Phí chuyển tiền</v>
      </c>
      <c r="E37" s="513">
        <f t="shared" ca="1" si="0"/>
        <v>27</v>
      </c>
      <c r="F37" s="515" t="str">
        <f ca="1">IF(ROWS($1:27)&gt;COUNT(Dong6),"",OFFSET(TH!L$1,SMALL(Dong6,ROWS($1:27)),))</f>
        <v>642</v>
      </c>
      <c r="G37" s="515" t="str">
        <f ca="1">IF(ROWS($1:27)&gt;COUNT(Dong6),"",OFFSET(TH!M$1,SMALL(Dong6,ROWS($1:27)),))</f>
        <v>1121</v>
      </c>
      <c r="H37" s="447">
        <f ca="1">IF(ROWS($1:27)&gt;COUNT(Dong6),"",OFFSET(TH!K$1,SMALL(Dong6,ROWS($1:27)),))</f>
        <v>20000</v>
      </c>
      <c r="I37" s="447">
        <f ca="1">IF(ROWS($1:27)&gt;COUNT(Dong6),"",OFFSET(TH!K$1,SMALL(Dong6,ROWS($1:27)),))</f>
        <v>20000</v>
      </c>
    </row>
    <row r="38" spans="1:9" ht="21" customHeight="1">
      <c r="A38" s="512">
        <f ca="1">IF(ROWS($1:28)&gt;COUNT(Dong6),"",OFFSET(TH!C$1,SMALL(Dong6,ROWS($1:28)),))</f>
        <v>42559</v>
      </c>
      <c r="B38" s="513" t="str">
        <f ca="1">IF(ROWS($1:28)&gt;COUNT(Dong6),"",OFFSET(TH!D$1,SMALL(Dong6,ROWS($1:28)),))</f>
        <v>GBN</v>
      </c>
      <c r="C38" s="512">
        <f ca="1">IF(ROWS($1:28)&gt;COUNT(Dong6),"",OFFSET(TH!E$1,SMALL(Dong6,ROWS($1:28)),))</f>
        <v>42559</v>
      </c>
      <c r="D38" s="514" t="str">
        <f ca="1">IF(ROWS($1:28)&gt;COUNT(Dong6),"",OFFSET(TH!F$1,SMALL(Dong6,ROWS($1:28)),))</f>
        <v>VAT Phí chuyển tiền</v>
      </c>
      <c r="E38" s="513">
        <f t="shared" ca="1" si="0"/>
        <v>28</v>
      </c>
      <c r="F38" s="515" t="str">
        <f ca="1">IF(ROWS($1:28)&gt;COUNT(Dong6),"",OFFSET(TH!L$1,SMALL(Dong6,ROWS($1:28)),))</f>
        <v>1331</v>
      </c>
      <c r="G38" s="515" t="str">
        <f ca="1">IF(ROWS($1:28)&gt;COUNT(Dong6),"",OFFSET(TH!M$1,SMALL(Dong6,ROWS($1:28)),))</f>
        <v>1121</v>
      </c>
      <c r="H38" s="447">
        <f ca="1">IF(ROWS($1:28)&gt;COUNT(Dong6),"",OFFSET(TH!K$1,SMALL(Dong6,ROWS($1:28)),))</f>
        <v>2000</v>
      </c>
      <c r="I38" s="447">
        <f ca="1">IF(ROWS($1:28)&gt;COUNT(Dong6),"",OFFSET(TH!K$1,SMALL(Dong6,ROWS($1:28)),))</f>
        <v>2000</v>
      </c>
    </row>
    <row r="39" spans="1:9" ht="21" customHeight="1">
      <c r="A39" s="512">
        <f ca="1">IF(ROWS($1:29)&gt;COUNT(Dong6),"",OFFSET(TH!C$1,SMALL(Dong6,ROWS($1:29)),))</f>
        <v>42559</v>
      </c>
      <c r="B39" s="513" t="str">
        <f ca="1">IF(ROWS($1:29)&gt;COUNT(Dong6),"",OFFSET(TH!D$1,SMALL(Dong6,ROWS($1:29)),))</f>
        <v>GBN</v>
      </c>
      <c r="C39" s="512">
        <f ca="1">IF(ROWS($1:29)&gt;COUNT(Dong6),"",OFFSET(TH!E$1,SMALL(Dong6,ROWS($1:29)),))</f>
        <v>42559</v>
      </c>
      <c r="D39" s="514" t="str">
        <f ca="1">IF(ROWS($1:29)&gt;COUNT(Dong6),"",OFFSET(TH!F$1,SMALL(Dong6,ROWS($1:29)),))</f>
        <v>Phí chuyển tiền trong ngày</v>
      </c>
      <c r="E39" s="513">
        <f t="shared" ca="1" si="0"/>
        <v>29</v>
      </c>
      <c r="F39" s="515" t="str">
        <f ca="1">IF(ROWS($1:29)&gt;COUNT(Dong6),"",OFFSET(TH!L$1,SMALL(Dong6,ROWS($1:29)),))</f>
        <v>642</v>
      </c>
      <c r="G39" s="515" t="str">
        <f ca="1">IF(ROWS($1:29)&gt;COUNT(Dong6),"",OFFSET(TH!M$1,SMALL(Dong6,ROWS($1:29)),))</f>
        <v>1121</v>
      </c>
      <c r="H39" s="447">
        <f ca="1">IF(ROWS($1:29)&gt;COUNT(Dong6),"",OFFSET(TH!K$1,SMALL(Dong6,ROWS($1:29)),))</f>
        <v>20000</v>
      </c>
      <c r="I39" s="447">
        <f ca="1">IF(ROWS($1:29)&gt;COUNT(Dong6),"",OFFSET(TH!K$1,SMALL(Dong6,ROWS($1:29)),))</f>
        <v>20000</v>
      </c>
    </row>
    <row r="40" spans="1:9" ht="21" customHeight="1">
      <c r="A40" s="512">
        <f ca="1">IF(ROWS($1:30)&gt;COUNT(Dong6),"",OFFSET(TH!C$1,SMALL(Dong6,ROWS($1:30)),))</f>
        <v>42559</v>
      </c>
      <c r="B40" s="513" t="str">
        <f ca="1">IF(ROWS($1:30)&gt;COUNT(Dong6),"",OFFSET(TH!D$1,SMALL(Dong6,ROWS($1:30)),))</f>
        <v>GBN</v>
      </c>
      <c r="C40" s="512">
        <f ca="1">IF(ROWS($1:30)&gt;COUNT(Dong6),"",OFFSET(TH!E$1,SMALL(Dong6,ROWS($1:30)),))</f>
        <v>42559</v>
      </c>
      <c r="D40" s="514" t="str">
        <f ca="1">IF(ROWS($1:30)&gt;COUNT(Dong6),"",OFFSET(TH!F$1,SMALL(Dong6,ROWS($1:30)),))</f>
        <v>VAT Phí chuyển tiền trong ngày</v>
      </c>
      <c r="E40" s="513">
        <f t="shared" ca="1" si="0"/>
        <v>30</v>
      </c>
      <c r="F40" s="515" t="str">
        <f ca="1">IF(ROWS($1:30)&gt;COUNT(Dong6),"",OFFSET(TH!L$1,SMALL(Dong6,ROWS($1:30)),))</f>
        <v>1331</v>
      </c>
      <c r="G40" s="515" t="str">
        <f ca="1">IF(ROWS($1:30)&gt;COUNT(Dong6),"",OFFSET(TH!M$1,SMALL(Dong6,ROWS($1:30)),))</f>
        <v>1121</v>
      </c>
      <c r="H40" s="447">
        <f ca="1">IF(ROWS($1:30)&gt;COUNT(Dong6),"",OFFSET(TH!K$1,SMALL(Dong6,ROWS($1:30)),))</f>
        <v>2000</v>
      </c>
      <c r="I40" s="447">
        <f ca="1">IF(ROWS($1:30)&gt;COUNT(Dong6),"",OFFSET(TH!K$1,SMALL(Dong6,ROWS($1:30)),))</f>
        <v>2000</v>
      </c>
    </row>
    <row r="41" spans="1:9" ht="21" customHeight="1">
      <c r="A41" s="512">
        <f ca="1">IF(ROWS($1:31)&gt;COUNT(Dong6),"",OFFSET(TH!C$1,SMALL(Dong6,ROWS($1:31)),))</f>
        <v>42563</v>
      </c>
      <c r="B41" s="513" t="str">
        <f ca="1">IF(ROWS($1:31)&gt;COUNT(Dong6),"",OFFSET(TH!D$1,SMALL(Dong6,ROWS($1:31)),))</f>
        <v>NL/N01</v>
      </c>
      <c r="C41" s="512">
        <f ca="1">IF(ROWS($1:31)&gt;COUNT(Dong6),"",OFFSET(TH!E$1,SMALL(Dong6,ROWS($1:31)),))</f>
        <v>42563</v>
      </c>
      <c r="D41" s="514" t="str">
        <f ca="1">IF(ROWS($1:31)&gt;COUNT(Dong6),"",OFFSET(TH!F$1,SMALL(Dong6,ROWS($1:31)),))</f>
        <v>Giấy cuộn xeo</v>
      </c>
      <c r="E41" s="513">
        <f t="shared" ref="E41:E50" ca="1" si="1">IF(D41&lt;&gt;"",ROW()-10,"")</f>
        <v>31</v>
      </c>
      <c r="F41" s="515" t="str">
        <f ca="1">IF(ROWS($1:31)&gt;COUNT(Dong6),"",OFFSET(TH!L$1,SMALL(Dong6,ROWS($1:31)),))</f>
        <v>1521</v>
      </c>
      <c r="G41" s="515" t="str">
        <f ca="1">IF(ROWS($1:31)&gt;COUNT(Dong6),"",OFFSET(TH!M$1,SMALL(Dong6,ROWS($1:31)),))</f>
        <v>331</v>
      </c>
      <c r="H41" s="447">
        <f ca="1">IF(ROWS($1:31)&gt;COUNT(Dong6),"",OFFSET(TH!K$1,SMALL(Dong6,ROWS($1:31)),))</f>
        <v>87673600</v>
      </c>
      <c r="I41" s="447">
        <f ca="1">IF(ROWS($1:31)&gt;COUNT(Dong6),"",OFFSET(TH!K$1,SMALL(Dong6,ROWS($1:31)),))</f>
        <v>87673600</v>
      </c>
    </row>
    <row r="42" spans="1:9" ht="21" customHeight="1">
      <c r="A42" s="512">
        <f ca="1">IF(ROWS($1:32)&gt;COUNT(Dong6),"",OFFSET(TH!C$1,SMALL(Dong6,ROWS($1:32)),))</f>
        <v>42563</v>
      </c>
      <c r="B42" s="513" t="str">
        <f ca="1">IF(ROWS($1:32)&gt;COUNT(Dong6),"",OFFSET(TH!D$1,SMALL(Dong6,ROWS($1:32)),))</f>
        <v>NL/N01</v>
      </c>
      <c r="C42" s="512">
        <f ca="1">IF(ROWS($1:32)&gt;COUNT(Dong6),"",OFFSET(TH!E$1,SMALL(Dong6,ROWS($1:32)),))</f>
        <v>42563</v>
      </c>
      <c r="D42" s="514" t="str">
        <f ca="1">IF(ROWS($1:32)&gt;COUNT(Dong6),"",OFFSET(TH!F$1,SMALL(Dong6,ROWS($1:32)),))</f>
        <v>Giấy nâu gia keo</v>
      </c>
      <c r="E42" s="513">
        <f t="shared" ca="1" si="1"/>
        <v>32</v>
      </c>
      <c r="F42" s="515" t="str">
        <f ca="1">IF(ROWS($1:32)&gt;COUNT(Dong6),"",OFFSET(TH!L$1,SMALL(Dong6,ROWS($1:32)),))</f>
        <v>1521</v>
      </c>
      <c r="G42" s="515" t="str">
        <f ca="1">IF(ROWS($1:32)&gt;COUNT(Dong6),"",OFFSET(TH!M$1,SMALL(Dong6,ROWS($1:32)),))</f>
        <v>331</v>
      </c>
      <c r="H42" s="447">
        <f ca="1">IF(ROWS($1:32)&gt;COUNT(Dong6),"",OFFSET(TH!K$1,SMALL(Dong6,ROWS($1:32)),))</f>
        <v>53213100</v>
      </c>
      <c r="I42" s="447">
        <f ca="1">IF(ROWS($1:32)&gt;COUNT(Dong6),"",OFFSET(TH!K$1,SMALL(Dong6,ROWS($1:32)),))</f>
        <v>53213100</v>
      </c>
    </row>
    <row r="43" spans="1:9" ht="21" customHeight="1">
      <c r="A43" s="512">
        <f ca="1">IF(ROWS($1:33)&gt;COUNT(Dong6),"",OFFSET(TH!C$1,SMALL(Dong6,ROWS($1:33)),))</f>
        <v>42563</v>
      </c>
      <c r="B43" s="513" t="str">
        <f ca="1">IF(ROWS($1:33)&gt;COUNT(Dong6),"",OFFSET(TH!D$1,SMALL(Dong6,ROWS($1:33)),))</f>
        <v>NL/N01</v>
      </c>
      <c r="C43" s="512">
        <f ca="1">IF(ROWS($1:33)&gt;COUNT(Dong6),"",OFFSET(TH!E$1,SMALL(Dong6,ROWS($1:33)),))</f>
        <v>42563</v>
      </c>
      <c r="D43" s="514" t="str">
        <f ca="1">IF(ROWS($1:33)&gt;COUNT(Dong6),"",OFFSET(TH!F$1,SMALL(Dong6,ROWS($1:33)),))</f>
        <v>Giấy xeo gia keo chống thấm</v>
      </c>
      <c r="E43" s="513">
        <f t="shared" ca="1" si="1"/>
        <v>33</v>
      </c>
      <c r="F43" s="515" t="str">
        <f ca="1">IF(ROWS($1:33)&gt;COUNT(Dong6),"",OFFSET(TH!L$1,SMALL(Dong6,ROWS($1:33)),))</f>
        <v>1521</v>
      </c>
      <c r="G43" s="515" t="str">
        <f ca="1">IF(ROWS($1:33)&gt;COUNT(Dong6),"",OFFSET(TH!M$1,SMALL(Dong6,ROWS($1:33)),))</f>
        <v>331</v>
      </c>
      <c r="H43" s="447">
        <f ca="1">IF(ROWS($1:33)&gt;COUNT(Dong6),"",OFFSET(TH!K$1,SMALL(Dong6,ROWS($1:33)),))</f>
        <v>34093500</v>
      </c>
      <c r="I43" s="447">
        <f ca="1">IF(ROWS($1:33)&gt;COUNT(Dong6),"",OFFSET(TH!K$1,SMALL(Dong6,ROWS($1:33)),))</f>
        <v>34093500</v>
      </c>
    </row>
    <row r="44" spans="1:9" ht="21" customHeight="1">
      <c r="A44" s="512">
        <f ca="1">IF(ROWS($1:34)&gt;COUNT(Dong6),"",OFFSET(TH!C$1,SMALL(Dong6,ROWS($1:34)),))</f>
        <v>42563</v>
      </c>
      <c r="B44" s="513" t="str">
        <f ca="1">IF(ROWS($1:34)&gt;COUNT(Dong6),"",OFFSET(TH!D$1,SMALL(Dong6,ROWS($1:34)),))</f>
        <v>NL/N04</v>
      </c>
      <c r="C44" s="512">
        <f ca="1">IF(ROWS($1:34)&gt;COUNT(Dong6),"",OFFSET(TH!E$1,SMALL(Dong6,ROWS($1:34)),))</f>
        <v>42563</v>
      </c>
      <c r="D44" s="514" t="str">
        <f ca="1">IF(ROWS($1:34)&gt;COUNT(Dong6),"",OFFSET(TH!F$1,SMALL(Dong6,ROWS($1:34)),))</f>
        <v>VAT Giấy màu vàng, xeo gia keo chống thấm</v>
      </c>
      <c r="E44" s="513">
        <f t="shared" ca="1" si="1"/>
        <v>34</v>
      </c>
      <c r="F44" s="515" t="str">
        <f ca="1">IF(ROWS($1:34)&gt;COUNT(Dong6),"",OFFSET(TH!L$1,SMALL(Dong6,ROWS($1:34)),))</f>
        <v>1331</v>
      </c>
      <c r="G44" s="515" t="str">
        <f ca="1">IF(ROWS($1:34)&gt;COUNT(Dong6),"",OFFSET(TH!M$1,SMALL(Dong6,ROWS($1:34)),))</f>
        <v>331</v>
      </c>
      <c r="H44" s="447">
        <f ca="1">IF(ROWS($1:34)&gt;COUNT(Dong6),"",OFFSET(TH!K$1,SMALL(Dong6,ROWS($1:34)),))</f>
        <v>17498020</v>
      </c>
      <c r="I44" s="447">
        <f ca="1">IF(ROWS($1:34)&gt;COUNT(Dong6),"",OFFSET(TH!K$1,SMALL(Dong6,ROWS($1:34)),))</f>
        <v>17498020</v>
      </c>
    </row>
    <row r="45" spans="1:9" ht="21" customHeight="1">
      <c r="A45" s="512">
        <f ca="1">IF(ROWS($1:35)&gt;COUNT(Dong6),"",OFFSET(TH!C$1,SMALL(Dong6,ROWS($1:35)),))</f>
        <v>42563</v>
      </c>
      <c r="B45" s="513" t="str">
        <f ca="1">IF(ROWS($1:35)&gt;COUNT(Dong6),"",OFFSET(TH!D$1,SMALL(Dong6,ROWS($1:35)),))</f>
        <v>CTGS</v>
      </c>
      <c r="C45" s="512">
        <f ca="1">IF(ROWS($1:35)&gt;COUNT(Dong6),"",OFFSET(TH!E$1,SMALL(Dong6,ROWS($1:35)),))</f>
        <v>42563</v>
      </c>
      <c r="D45" s="514" t="str">
        <f ca="1">IF(ROWS($1:35)&gt;COUNT(Dong6),"",OFFSET(TH!F$1,SMALL(Dong6,ROWS($1:35)),))</f>
        <v>Máy chap khe khổ 2m</v>
      </c>
      <c r="E45" s="513">
        <f t="shared" ca="1" si="1"/>
        <v>35</v>
      </c>
      <c r="F45" s="515" t="str">
        <f ca="1">IF(ROWS($1:35)&gt;COUNT(Dong6),"",OFFSET(TH!L$1,SMALL(Dong6,ROWS($1:35)),))</f>
        <v>2112</v>
      </c>
      <c r="G45" s="515" t="str">
        <f ca="1">IF(ROWS($1:35)&gt;COUNT(Dong6),"",OFFSET(TH!M$1,SMALL(Dong6,ROWS($1:35)),))</f>
        <v>331</v>
      </c>
      <c r="H45" s="447">
        <f ca="1">IF(ROWS($1:35)&gt;COUNT(Dong6),"",OFFSET(TH!K$1,SMALL(Dong6,ROWS($1:35)),))</f>
        <v>15000000</v>
      </c>
      <c r="I45" s="447">
        <f ca="1">IF(ROWS($1:35)&gt;COUNT(Dong6),"",OFFSET(TH!K$1,SMALL(Dong6,ROWS($1:35)),))</f>
        <v>15000000</v>
      </c>
    </row>
    <row r="46" spans="1:9" ht="21" customHeight="1">
      <c r="A46" s="512">
        <f ca="1">IF(ROWS($1:36)&gt;COUNT(Dong6),"",OFFSET(TH!C$1,SMALL(Dong6,ROWS($1:36)),))</f>
        <v>42563</v>
      </c>
      <c r="B46" s="513" t="str">
        <f ca="1">IF(ROWS($1:36)&gt;COUNT(Dong6),"",OFFSET(TH!D$1,SMALL(Dong6,ROWS($1:36)),))</f>
        <v>CTGS</v>
      </c>
      <c r="C46" s="512">
        <f ca="1">IF(ROWS($1:36)&gt;COUNT(Dong6),"",OFFSET(TH!E$1,SMALL(Dong6,ROWS($1:36)),))</f>
        <v>42563</v>
      </c>
      <c r="D46" s="514" t="str">
        <f ca="1">IF(ROWS($1:36)&gt;COUNT(Dong6),"",OFFSET(TH!F$1,SMALL(Dong6,ROWS($1:36)),))</f>
        <v>Máy đóng kẽm</v>
      </c>
      <c r="E46" s="513">
        <f t="shared" ca="1" si="1"/>
        <v>36</v>
      </c>
      <c r="F46" s="515" t="str">
        <f ca="1">IF(ROWS($1:36)&gt;COUNT(Dong6),"",OFFSET(TH!L$1,SMALL(Dong6,ROWS($1:36)),))</f>
        <v>2112</v>
      </c>
      <c r="G46" s="515" t="str">
        <f ca="1">IF(ROWS($1:36)&gt;COUNT(Dong6),"",OFFSET(TH!M$1,SMALL(Dong6,ROWS($1:36)),))</f>
        <v>331</v>
      </c>
      <c r="H46" s="447">
        <f ca="1">IF(ROWS($1:36)&gt;COUNT(Dong6),"",OFFSET(TH!K$1,SMALL(Dong6,ROWS($1:36)),))</f>
        <v>25000000</v>
      </c>
      <c r="I46" s="447">
        <f ca="1">IF(ROWS($1:36)&gt;COUNT(Dong6),"",OFFSET(TH!K$1,SMALL(Dong6,ROWS($1:36)),))</f>
        <v>25000000</v>
      </c>
    </row>
    <row r="47" spans="1:9" ht="21" customHeight="1">
      <c r="A47" s="512">
        <f ca="1">IF(ROWS($1:37)&gt;COUNT(Dong6),"",OFFSET(TH!C$1,SMALL(Dong6,ROWS($1:37)),))</f>
        <v>42563</v>
      </c>
      <c r="B47" s="513" t="str">
        <f ca="1">IF(ROWS($1:37)&gt;COUNT(Dong6),"",OFFSET(TH!D$1,SMALL(Dong6,ROWS($1:37)),))</f>
        <v>CTGS</v>
      </c>
      <c r="C47" s="512">
        <f ca="1">IF(ROWS($1:37)&gt;COUNT(Dong6),"",OFFSET(TH!E$1,SMALL(Dong6,ROWS($1:37)),))</f>
        <v>42563</v>
      </c>
      <c r="D47" s="514" t="str">
        <f ca="1">IF(ROWS($1:37)&gt;COUNT(Dong6),"",OFFSET(TH!F$1,SMALL(Dong6,ROWS($1:37)),))</f>
        <v>Máy In</v>
      </c>
      <c r="E47" s="513">
        <f t="shared" ca="1" si="1"/>
        <v>37</v>
      </c>
      <c r="F47" s="515" t="str">
        <f ca="1">IF(ROWS($1:37)&gt;COUNT(Dong6),"",OFFSET(TH!L$1,SMALL(Dong6,ROWS($1:37)),))</f>
        <v>2112</v>
      </c>
      <c r="G47" s="515" t="str">
        <f ca="1">IF(ROWS($1:37)&gt;COUNT(Dong6),"",OFFSET(TH!M$1,SMALL(Dong6,ROWS($1:37)),))</f>
        <v>331</v>
      </c>
      <c r="H47" s="447">
        <f ca="1">IF(ROWS($1:37)&gt;COUNT(Dong6),"",OFFSET(TH!K$1,SMALL(Dong6,ROWS($1:37)),))</f>
        <v>300000000</v>
      </c>
      <c r="I47" s="447">
        <f ca="1">IF(ROWS($1:37)&gt;COUNT(Dong6),"",OFFSET(TH!K$1,SMALL(Dong6,ROWS($1:37)),))</f>
        <v>300000000</v>
      </c>
    </row>
    <row r="48" spans="1:9" ht="21" customHeight="1">
      <c r="A48" s="512">
        <f ca="1">IF(ROWS($1:38)&gt;COUNT(Dong6),"",OFFSET(TH!C$1,SMALL(Dong6,ROWS($1:38)),))</f>
        <v>42563</v>
      </c>
      <c r="B48" s="513" t="str">
        <f ca="1">IF(ROWS($1:38)&gt;COUNT(Dong6),"",OFFSET(TH!D$1,SMALL(Dong6,ROWS($1:38)),))</f>
        <v>CTGS</v>
      </c>
      <c r="C48" s="512">
        <f ca="1">IF(ROWS($1:38)&gt;COUNT(Dong6),"",OFFSET(TH!E$1,SMALL(Dong6,ROWS($1:38)),))</f>
        <v>42563</v>
      </c>
      <c r="D48" s="514" t="str">
        <f ca="1">IF(ROWS($1:38)&gt;COUNT(Dong6),"",OFFSET(TH!F$1,SMALL(Dong6,ROWS($1:38)),))</f>
        <v>Máy sóng giấy carton đầu 5 lớp</v>
      </c>
      <c r="E48" s="513">
        <f t="shared" ca="1" si="1"/>
        <v>38</v>
      </c>
      <c r="F48" s="515" t="str">
        <f ca="1">IF(ROWS($1:38)&gt;COUNT(Dong6),"",OFFSET(TH!L$1,SMALL(Dong6,ROWS($1:38)),))</f>
        <v>2112</v>
      </c>
      <c r="G48" s="515" t="str">
        <f ca="1">IF(ROWS($1:38)&gt;COUNT(Dong6),"",OFFSET(TH!M$1,SMALL(Dong6,ROWS($1:38)),))</f>
        <v>331</v>
      </c>
      <c r="H48" s="447">
        <f ca="1">IF(ROWS($1:38)&gt;COUNT(Dong6),"",OFFSET(TH!K$1,SMALL(Dong6,ROWS($1:38)),))</f>
        <v>500000000</v>
      </c>
      <c r="I48" s="447">
        <f ca="1">IF(ROWS($1:38)&gt;COUNT(Dong6),"",OFFSET(TH!K$1,SMALL(Dong6,ROWS($1:38)),))</f>
        <v>500000000</v>
      </c>
    </row>
    <row r="49" spans="1:10" ht="21" customHeight="1">
      <c r="A49" s="512">
        <f ca="1">IF(ROWS($1:39)&gt;COUNT(Dong6),"",OFFSET(TH!C$1,SMALL(Dong6,ROWS($1:39)),))</f>
        <v>42563</v>
      </c>
      <c r="B49" s="513" t="str">
        <f ca="1">IF(ROWS($1:39)&gt;COUNT(Dong6),"",OFFSET(TH!D$1,SMALL(Dong6,ROWS($1:39)),))</f>
        <v>CTGS</v>
      </c>
      <c r="C49" s="512">
        <f ca="1">IF(ROWS($1:39)&gt;COUNT(Dong6),"",OFFSET(TH!E$1,SMALL(Dong6,ROWS($1:39)),))</f>
        <v>42563</v>
      </c>
      <c r="D49" s="514" t="str">
        <f ca="1">IF(ROWS($1:39)&gt;COUNT(Dong6),"",OFFSET(TH!F$1,SMALL(Dong6,ROWS($1:39)),))</f>
        <v>VAT máy móc tiết bị</v>
      </c>
      <c r="E49" s="513">
        <f t="shared" ca="1" si="1"/>
        <v>39</v>
      </c>
      <c r="F49" s="515" t="str">
        <f ca="1">IF(ROWS($1:39)&gt;COUNT(Dong6),"",OFFSET(TH!L$1,SMALL(Dong6,ROWS($1:39)),))</f>
        <v>1331</v>
      </c>
      <c r="G49" s="515" t="str">
        <f ca="1">IF(ROWS($1:39)&gt;COUNT(Dong6),"",OFFSET(TH!M$1,SMALL(Dong6,ROWS($1:39)),))</f>
        <v>331</v>
      </c>
      <c r="H49" s="447">
        <f ca="1">IF(ROWS($1:39)&gt;COUNT(Dong6),"",OFFSET(TH!K$1,SMALL(Dong6,ROWS($1:39)),))</f>
        <v>84000000</v>
      </c>
      <c r="I49" s="447">
        <f ca="1">IF(ROWS($1:39)&gt;COUNT(Dong6),"",OFFSET(TH!K$1,SMALL(Dong6,ROWS($1:39)),))</f>
        <v>84000000</v>
      </c>
    </row>
    <row r="50" spans="1:10" ht="21" customHeight="1">
      <c r="A50" s="512">
        <f ca="1">IF(ROWS($1:40)&gt;COUNT(Dong6),"",OFFSET(TH!C$1,SMALL(Dong6,ROWS($1:40)),))</f>
        <v>42566</v>
      </c>
      <c r="B50" s="513" t="str">
        <f ca="1">IF(ROWS($1:40)&gt;COUNT(Dong6),"",OFFSET(TH!D$1,SMALL(Dong6,ROWS($1:40)),))</f>
        <v>C06</v>
      </c>
      <c r="C50" s="512">
        <f ca="1">IF(ROWS($1:40)&gt;COUNT(Dong6),"",OFFSET(TH!E$1,SMALL(Dong6,ROWS($1:40)),))</f>
        <v>42566</v>
      </c>
      <c r="D50" s="514" t="str">
        <f ca="1">IF(ROWS($1:40)&gt;COUNT(Dong6),"",OFFSET(TH!F$1,SMALL(Dong6,ROWS($1:40)),))</f>
        <v>Dầu Do</v>
      </c>
      <c r="E50" s="513">
        <f t="shared" ca="1" si="1"/>
        <v>40</v>
      </c>
      <c r="F50" s="515" t="str">
        <f ca="1">IF(ROWS($1:40)&gt;COUNT(Dong6),"",OFFSET(TH!L$1,SMALL(Dong6,ROWS($1:40)),))</f>
        <v>641</v>
      </c>
      <c r="G50" s="515" t="str">
        <f ca="1">IF(ROWS($1:40)&gt;COUNT(Dong6),"",OFFSET(TH!M$1,SMALL(Dong6,ROWS($1:40)),))</f>
        <v>1111</v>
      </c>
      <c r="H50" s="447">
        <f ca="1">IF(ROWS($1:40)&gt;COUNT(Dong6),"",OFFSET(TH!K$1,SMALL(Dong6,ROWS($1:40)),))</f>
        <v>1454545</v>
      </c>
      <c r="I50" s="447">
        <f ca="1">IF(ROWS($1:40)&gt;COUNT(Dong6),"",OFFSET(TH!K$1,SMALL(Dong6,ROWS($1:40)),))</f>
        <v>1454545</v>
      </c>
    </row>
    <row r="51" spans="1:10" ht="21" customHeight="1">
      <c r="A51" s="512"/>
      <c r="B51" s="513"/>
      <c r="C51" s="512"/>
      <c r="D51" s="514"/>
      <c r="E51" s="513"/>
      <c r="F51" s="515"/>
      <c r="G51" s="515"/>
      <c r="H51" s="447"/>
      <c r="I51" s="447"/>
    </row>
    <row r="52" spans="1:10" ht="21" customHeight="1">
      <c r="A52" s="516"/>
      <c r="B52" s="516"/>
      <c r="C52" s="516"/>
      <c r="D52" s="517" t="s">
        <v>338</v>
      </c>
      <c r="E52" s="518" t="s">
        <v>19</v>
      </c>
      <c r="F52" s="518"/>
      <c r="G52" s="518" t="s">
        <v>19</v>
      </c>
      <c r="H52" s="519">
        <f ca="1">SUBTOTAL(9,$H$10:$H$51)</f>
        <v>3779917065</v>
      </c>
      <c r="I52" s="519">
        <f ca="1">SUBTOTAL(9,I10:I51)</f>
        <v>3779917065</v>
      </c>
    </row>
    <row r="53" spans="1:10">
      <c r="A53" s="520" t="s">
        <v>362</v>
      </c>
    </row>
    <row r="54" spans="1:10">
      <c r="A54" s="520" t="str">
        <f ca="1">"- Ngày mở sổ: "&amp;DAY($A$11)&amp;"/"&amp;MONTH($A$11)&amp;"/ " &amp;YEAR($A$11)</f>
        <v>- Ngày mở sổ: 1/7/ 2016</v>
      </c>
    </row>
    <row r="55" spans="1:10">
      <c r="H55" s="96" t="str">
        <f ca="1">"Ngày "&amp;IF(OR($L$11=4,$L$11=6,$L$11=9,$L$11=11),"30",IF($L$11=2,"28","31"))&amp;" tháng "&amp;$N$8&amp;"  năm  "&amp;YEAR($A$14)</f>
        <v>Ngày 31 tháng 9  năm  2016</v>
      </c>
      <c r="I55" s="521"/>
      <c r="J55" s="521"/>
    </row>
    <row r="56" spans="1:10">
      <c r="B56" s="521" t="s">
        <v>335</v>
      </c>
      <c r="D56" s="521" t="s">
        <v>12</v>
      </c>
      <c r="H56" s="521" t="s">
        <v>336</v>
      </c>
      <c r="I56" s="521"/>
      <c r="J56" s="521"/>
    </row>
    <row r="57" spans="1:10">
      <c r="B57" s="521" t="s">
        <v>13</v>
      </c>
      <c r="D57" s="521" t="s">
        <v>13</v>
      </c>
      <c r="H57" s="521" t="s">
        <v>131</v>
      </c>
      <c r="I57" s="521"/>
      <c r="J57" s="521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636" customWidth="1"/>
    <col min="2" max="2" width="6.85546875" style="636" customWidth="1"/>
    <col min="3" max="3" width="8.7109375" style="636" customWidth="1"/>
    <col min="4" max="4" width="34.5703125" style="3" customWidth="1"/>
    <col min="5" max="5" width="6.28515625" style="6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678" customFormat="1" ht="15.75" customHeight="1">
      <c r="A2" s="676" t="str">
        <f>TH!A1</f>
        <v>Đơn vị: CÔNG TY TNHH BAO BÌ GIẤY KIM DUNG PHÁT</v>
      </c>
      <c r="B2" s="677"/>
      <c r="C2" s="677"/>
      <c r="E2" s="677"/>
      <c r="G2" s="839" t="s">
        <v>140</v>
      </c>
      <c r="H2" s="839"/>
      <c r="I2" s="839"/>
    </row>
    <row r="3" spans="1:9" ht="15.75" customHeight="1">
      <c r="A3" s="1" t="str">
        <f>TH!A2</f>
        <v>Địa chỉ: Ấp Rừng Sến, xã Mỹ Hạnh Bắc, Huyện Đức Hòa, Tỉnh Long An, Việt Nam</v>
      </c>
      <c r="G3" s="840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40"/>
      <c r="I3" s="840"/>
    </row>
    <row r="4" spans="1:9">
      <c r="F4" s="6"/>
      <c r="G4" s="840"/>
      <c r="H4" s="840"/>
      <c r="I4" s="840"/>
    </row>
    <row r="5" spans="1:9" ht="31.5" customHeight="1">
      <c r="A5" s="841" t="s">
        <v>141</v>
      </c>
      <c r="B5" s="841"/>
      <c r="C5" s="841"/>
      <c r="D5" s="841"/>
      <c r="E5" s="841"/>
      <c r="F5" s="841"/>
      <c r="G5" s="841"/>
      <c r="H5" s="841"/>
      <c r="I5" s="841"/>
    </row>
    <row r="6" spans="1:9">
      <c r="A6" s="842" t="s">
        <v>142</v>
      </c>
      <c r="B6" s="836"/>
      <c r="C6" s="836"/>
      <c r="D6" s="836"/>
      <c r="E6" s="836"/>
      <c r="F6" s="836"/>
      <c r="G6" s="836"/>
      <c r="H6" s="836"/>
      <c r="I6" s="836"/>
    </row>
    <row r="7" spans="1:9">
      <c r="B7" s="3"/>
      <c r="C7" s="3"/>
      <c r="D7" s="106" t="s">
        <v>143</v>
      </c>
      <c r="E7" s="107" t="s">
        <v>82</v>
      </c>
    </row>
    <row r="8" spans="1:9">
      <c r="B8" s="3"/>
      <c r="C8" s="3"/>
      <c r="D8" s="106" t="s">
        <v>144</v>
      </c>
      <c r="E8" s="3" t="str">
        <f>VLOOKUP($E$7,DSTK,2,0)</f>
        <v xml:space="preserve"> Chi phí quản lý doanh nghiệp </v>
      </c>
    </row>
    <row r="9" spans="1:9">
      <c r="A9" s="836" t="s">
        <v>29</v>
      </c>
      <c r="B9" s="843"/>
      <c r="C9" s="843"/>
      <c r="D9" s="843"/>
      <c r="E9" s="843"/>
      <c r="F9" s="843"/>
      <c r="G9" s="843"/>
      <c r="H9" s="843"/>
      <c r="I9" s="843"/>
    </row>
    <row r="10" spans="1:9" ht="9.75" customHeight="1">
      <c r="C10" s="844"/>
      <c r="D10" s="845"/>
      <c r="E10" s="845"/>
      <c r="F10" s="845"/>
      <c r="G10" s="845"/>
      <c r="H10" s="845"/>
      <c r="I10" s="845"/>
    </row>
    <row r="11" spans="1:9" ht="19.5" customHeight="1">
      <c r="A11" s="846" t="s">
        <v>20</v>
      </c>
      <c r="B11" s="837" t="s">
        <v>1</v>
      </c>
      <c r="C11" s="847"/>
      <c r="D11" s="846" t="s">
        <v>0</v>
      </c>
      <c r="E11" s="846" t="s">
        <v>14</v>
      </c>
      <c r="F11" s="837" t="s">
        <v>21</v>
      </c>
      <c r="G11" s="847"/>
      <c r="H11" s="837" t="s">
        <v>30</v>
      </c>
      <c r="I11" s="838"/>
    </row>
    <row r="12" spans="1:9" ht="32.25" customHeight="1">
      <c r="A12" s="846"/>
      <c r="B12" s="656" t="s">
        <v>15</v>
      </c>
      <c r="C12" s="656" t="s">
        <v>31</v>
      </c>
      <c r="D12" s="846"/>
      <c r="E12" s="846"/>
      <c r="F12" s="656" t="s">
        <v>22</v>
      </c>
      <c r="G12" s="656" t="s">
        <v>23</v>
      </c>
      <c r="H12" s="656" t="s">
        <v>22</v>
      </c>
      <c r="I12" s="656" t="s">
        <v>23</v>
      </c>
    </row>
    <row r="13" spans="1:9" s="636" customFormat="1" ht="11.25" customHeight="1">
      <c r="A13" s="657" t="s">
        <v>2</v>
      </c>
      <c r="B13" s="658" t="s">
        <v>3</v>
      </c>
      <c r="C13" s="657" t="s">
        <v>4</v>
      </c>
      <c r="D13" s="657" t="s">
        <v>5</v>
      </c>
      <c r="E13" s="657" t="s">
        <v>6</v>
      </c>
      <c r="F13" s="657">
        <v>1</v>
      </c>
      <c r="G13" s="657">
        <v>2</v>
      </c>
      <c r="H13" s="657">
        <v>3</v>
      </c>
      <c r="I13" s="657">
        <v>4</v>
      </c>
    </row>
    <row r="14" spans="1:9" ht="18" customHeight="1">
      <c r="A14" s="659"/>
      <c r="B14" s="660"/>
      <c r="C14" s="659"/>
      <c r="D14" s="661" t="s">
        <v>7</v>
      </c>
      <c r="E14" s="660"/>
      <c r="F14" s="662"/>
      <c r="G14" s="662"/>
      <c r="H14" s="662">
        <f>VLOOKUP($E$7,DSTK,3,0)</f>
        <v>0</v>
      </c>
      <c r="I14" s="662">
        <f>VLOOKUP($E$7,DSTK,4,0)</f>
        <v>0</v>
      </c>
    </row>
    <row r="15" spans="1:9" ht="18" customHeight="1">
      <c r="A15" s="663">
        <f ca="1">IF(ROWS($1:1)&gt;COUNT(Dong5),"",OFFSET(TH!C$1,SMALL(Dong5,ROWS($1:1)),))</f>
        <v>42735</v>
      </c>
      <c r="B15" s="663" t="str">
        <f ca="1">IF(ROWS($1:1)&gt;COUNT(Dong5),"",OFFSET(TH!D$1,SMALL(Dong5,ROWS($1:1)),))</f>
        <v>BTKC</v>
      </c>
      <c r="C15" s="663">
        <f ca="1">IF(ROWS($1:1)&gt;COUNT(Dong5),"",OFFSET(TH!E$1,SMALL(Dong5,ROWS($1:1)),))</f>
        <v>42735</v>
      </c>
      <c r="D15" s="664" t="str">
        <f ca="1">IF(ROWS($1:1)&gt;COUNT(Dong5),"",OFFSET(TH!F$1,SMALL(Dong5,ROWS($1:1)),))</f>
        <v>K/C chi phí quản lý doanh nghiệp</v>
      </c>
      <c r="E15" s="663" t="str">
        <f ca="1">IF(ROWS($1:1)&gt;COUNT(Dong5),"",IF(OFFSET(TH!L$1,SMALL(Dong5,ROWS($1:1)),)=$E$7,OFFSET(TH!M$1,SMALL(Dong5,ROWS($1:1)),),OFFSET(TH!L$1,SMALL(Dong5,ROWS($1:1)),)))</f>
        <v>911</v>
      </c>
      <c r="F15" s="665">
        <f ca="1">IF(ROWS($1:1)&gt;COUNT(Dong5),0,IF(OFFSET(TH!L$1,SMALL(Dong5,ROWS($1:1)),)=$E$7,OFFSET(TH!K$1,SMALL(Dong5,ROWS($1:1)),),0))</f>
        <v>0</v>
      </c>
      <c r="G15" s="662">
        <f ca="1">IF(ROWS($1:1)&gt;COUNT(Dong5),0,IF(OFFSET(TH!M$1,SMALL(Dong5,ROWS($1:1)),)=$E$7,OFFSET(TH!K$1,SMALL(Dong5,ROWS($1:1)),),0))</f>
        <v>290737980</v>
      </c>
      <c r="H15" s="666">
        <f ca="1">IF(D15&lt;&gt;"",MAX(H14+F15-G15-I14,0),0)</f>
        <v>0</v>
      </c>
      <c r="I15" s="666">
        <f ca="1">IF(D15&lt;&gt;"",MAX(I14+G15-H14-F15,0),0)</f>
        <v>290737980</v>
      </c>
    </row>
    <row r="16" spans="1:9" ht="18" customHeight="1">
      <c r="A16" s="663">
        <f ca="1">IF(ROWS($1:2)&gt;COUNT(Dong5),"",OFFSET(TH!C$1,SMALL(Dong5,ROWS($1:2)),))</f>
        <v>42552</v>
      </c>
      <c r="B16" s="663" t="str">
        <f ca="1">IF(ROWS($1:2)&gt;COUNT(Dong5),"",OFFSET(TH!D$1,SMALL(Dong5,ROWS($1:2)),))</f>
        <v>C02</v>
      </c>
      <c r="C16" s="663">
        <f ca="1">IF(ROWS($1:2)&gt;COUNT(Dong5),"",OFFSET(TH!E$1,SMALL(Dong5,ROWS($1:2)),))</f>
        <v>42508</v>
      </c>
      <c r="D16" s="664" t="str">
        <f ca="1">IF(ROWS($1:2)&gt;COUNT(Dong5),"",OFFSET(TH!F$1,SMALL(Dong5,ROWS($1:2)),))</f>
        <v>Chữ ký số</v>
      </c>
      <c r="E16" s="663" t="str">
        <f ca="1">IF(ROWS($1:2)&gt;COUNT(Dong5),"",IF(OFFSET(TH!L$1,SMALL(Dong5,ROWS($1:2)),)=$E$7,OFFSET(TH!M$1,SMALL(Dong5,ROWS($1:2)),),OFFSET(TH!L$1,SMALL(Dong5,ROWS($1:2)),)))</f>
        <v>1111</v>
      </c>
      <c r="F16" s="665">
        <f ca="1">IF(ROWS($1:2)&gt;COUNT(Dong5),0,IF(OFFSET(TH!L$1,SMALL(Dong5,ROWS($1:2)),)=$E$7,OFFSET(TH!K$1,SMALL(Dong5,ROWS($1:2)),),0))</f>
        <v>2160000</v>
      </c>
      <c r="G16" s="662">
        <f ca="1">IF(ROWS($1:2)&gt;COUNT(Dong5),0,IF(OFFSET(TH!M$1,SMALL(Dong5,ROWS($1:2)),)=$E$7,OFFSET(TH!K$1,SMALL(Dong5,ROWS($1:2)),),0))</f>
        <v>0</v>
      </c>
      <c r="H16" s="666">
        <f t="shared" ref="H16:H20" ca="1" si="0">IF(D16&lt;&gt;"",MAX(H15+F16-G16-I15,0),0)</f>
        <v>0</v>
      </c>
      <c r="I16" s="666">
        <f t="shared" ref="I16:I20" ca="1" si="1">IF(D16&lt;&gt;"",MAX(I15+G16-H15-F16,0),0)</f>
        <v>288577980</v>
      </c>
    </row>
    <row r="17" spans="1:9" ht="18" customHeight="1">
      <c r="A17" s="663">
        <f ca="1">IF(ROWS($1:3)&gt;COUNT(Dong5),"",OFFSET(TH!C$1,SMALL(Dong5,ROWS($1:3)),))</f>
        <v>42552</v>
      </c>
      <c r="B17" s="663" t="str">
        <f ca="1">IF(ROWS($1:3)&gt;COUNT(Dong5),"",OFFSET(TH!D$1,SMALL(Dong5,ROWS($1:3)),))</f>
        <v>GBN</v>
      </c>
      <c r="C17" s="663">
        <f ca="1">IF(ROWS($1:3)&gt;COUNT(Dong5),"",OFFSET(TH!E$1,SMALL(Dong5,ROWS($1:3)),))</f>
        <v>42516</v>
      </c>
      <c r="D17" s="664" t="str">
        <f ca="1">IF(ROWS($1:3)&gt;COUNT(Dong5),"",OFFSET(TH!F$1,SMALL(Dong5,ROWS($1:3)),))</f>
        <v>Phí bán 2 cuốn sec</v>
      </c>
      <c r="E17" s="663" t="str">
        <f ca="1">IF(ROWS($1:3)&gt;COUNT(Dong5),"",IF(OFFSET(TH!L$1,SMALL(Dong5,ROWS($1:3)),)=$E$7,OFFSET(TH!M$1,SMALL(Dong5,ROWS($1:3)),),OFFSET(TH!L$1,SMALL(Dong5,ROWS($1:3)),)))</f>
        <v>1121</v>
      </c>
      <c r="F17" s="665">
        <f ca="1">IF(ROWS($1:3)&gt;COUNT(Dong5),0,IF(OFFSET(TH!L$1,SMALL(Dong5,ROWS($1:3)),)=$E$7,OFFSET(TH!K$1,SMALL(Dong5,ROWS($1:3)),),0))</f>
        <v>20000</v>
      </c>
      <c r="G17" s="662">
        <f ca="1">IF(ROWS($1:3)&gt;COUNT(Dong5),0,IF(OFFSET(TH!M$1,SMALL(Dong5,ROWS($1:3)),)=$E$7,OFFSET(TH!K$1,SMALL(Dong5,ROWS($1:3)),),0))</f>
        <v>0</v>
      </c>
      <c r="H17" s="666">
        <f t="shared" ca="1" si="0"/>
        <v>0</v>
      </c>
      <c r="I17" s="666">
        <f t="shared" ca="1" si="1"/>
        <v>288557980</v>
      </c>
    </row>
    <row r="18" spans="1:9" ht="18" customHeight="1">
      <c r="A18" s="663">
        <f ca="1">IF(ROWS($1:4)&gt;COUNT(Dong5),"",OFFSET(TH!C$1,SMALL(Dong5,ROWS($1:4)),))</f>
        <v>42552</v>
      </c>
      <c r="B18" s="663" t="str">
        <f ca="1">IF(ROWS($1:4)&gt;COUNT(Dong5),"",OFFSET(TH!D$1,SMALL(Dong5,ROWS($1:4)),))</f>
        <v>CTGS</v>
      </c>
      <c r="C18" s="663">
        <f ca="1">IF(ROWS($1:4)&gt;COUNT(Dong5),"",OFFSET(TH!E$1,SMALL(Dong5,ROWS($1:4)),))</f>
        <v>42508</v>
      </c>
      <c r="D18" s="664" t="str">
        <f ca="1">IF(ROWS($1:4)&gt;COUNT(Dong5),"",OFFSET(TH!F$1,SMALL(Dong5,ROWS($1:4)),))</f>
        <v>Thuế môn bài phải nộp</v>
      </c>
      <c r="E18" s="663" t="str">
        <f ca="1">IF(ROWS($1:4)&gt;COUNT(Dong5),"",IF(OFFSET(TH!L$1,SMALL(Dong5,ROWS($1:4)),)=$E$7,OFFSET(TH!M$1,SMALL(Dong5,ROWS($1:4)),),OFFSET(TH!L$1,SMALL(Dong5,ROWS($1:4)),)))</f>
        <v>33382</v>
      </c>
      <c r="F18" s="665">
        <f ca="1">IF(ROWS($1:4)&gt;COUNT(Dong5),0,IF(OFFSET(TH!L$1,SMALL(Dong5,ROWS($1:4)),)=$E$7,OFFSET(TH!K$1,SMALL(Dong5,ROWS($1:4)),),0))</f>
        <v>1000000</v>
      </c>
      <c r="G18" s="662">
        <f ca="1">IF(ROWS($1:4)&gt;COUNT(Dong5),0,IF(OFFSET(TH!M$1,SMALL(Dong5,ROWS($1:4)),)=$E$7,OFFSET(TH!K$1,SMALL(Dong5,ROWS($1:4)),),0))</f>
        <v>0</v>
      </c>
      <c r="H18" s="666">
        <f t="shared" ca="1" si="0"/>
        <v>0</v>
      </c>
      <c r="I18" s="666">
        <f t="shared" ca="1" si="1"/>
        <v>287557980</v>
      </c>
    </row>
    <row r="19" spans="1:9" ht="18" customHeight="1">
      <c r="A19" s="663">
        <f ca="1">IF(ROWS($1:5)&gt;COUNT(Dong5),"",OFFSET(TH!C$1,SMALL(Dong5,ROWS($1:5)),))</f>
        <v>42552</v>
      </c>
      <c r="B19" s="663" t="str">
        <f ca="1">IF(ROWS($1:5)&gt;COUNT(Dong5),"",OFFSET(TH!D$1,SMALL(Dong5,ROWS($1:5)),))</f>
        <v>C04</v>
      </c>
      <c r="C19" s="663">
        <f ca="1">IF(ROWS($1:5)&gt;COUNT(Dong5),"",OFFSET(TH!E$1,SMALL(Dong5,ROWS($1:5)),))</f>
        <v>42532</v>
      </c>
      <c r="D19" s="664" t="str">
        <f ca="1">IF(ROWS($1:5)&gt;COUNT(Dong5),"",OFFSET(TH!F$1,SMALL(Dong5,ROWS($1:5)),))</f>
        <v>Đặt in hóa đơn</v>
      </c>
      <c r="E19" s="663" t="str">
        <f ca="1">IF(ROWS($1:5)&gt;COUNT(Dong5),"",IF(OFFSET(TH!L$1,SMALL(Dong5,ROWS($1:5)),)=$E$7,OFFSET(TH!M$1,SMALL(Dong5,ROWS($1:5)),),OFFSET(TH!L$1,SMALL(Dong5,ROWS($1:5)),)))</f>
        <v>1111</v>
      </c>
      <c r="F19" s="665">
        <f ca="1">IF(ROWS($1:5)&gt;COUNT(Dong5),0,IF(OFFSET(TH!L$1,SMALL(Dong5,ROWS($1:5)),)=$E$7,OFFSET(TH!K$1,SMALL(Dong5,ROWS($1:5)),),0))</f>
        <v>3800000</v>
      </c>
      <c r="G19" s="662">
        <f ca="1">IF(ROWS($1:5)&gt;COUNT(Dong5),0,IF(OFFSET(TH!M$1,SMALL(Dong5,ROWS($1:5)),)=$E$7,OFFSET(TH!K$1,SMALL(Dong5,ROWS($1:5)),),0))</f>
        <v>0</v>
      </c>
      <c r="H19" s="666">
        <f t="shared" ca="1" si="0"/>
        <v>0</v>
      </c>
      <c r="I19" s="666">
        <f t="shared" ca="1" si="1"/>
        <v>283757980</v>
      </c>
    </row>
    <row r="20" spans="1:9" ht="18" customHeight="1">
      <c r="A20" s="663">
        <f ca="1">IF(ROWS($1:6)&gt;COUNT(Dong5),"",OFFSET(TH!C$1,SMALL(Dong5,ROWS($1:6)),))</f>
        <v>42552</v>
      </c>
      <c r="B20" s="663" t="str">
        <f ca="1">IF(ROWS($1:6)&gt;COUNT(Dong5),"",OFFSET(TH!D$1,SMALL(Dong5,ROWS($1:6)),))</f>
        <v>GBN</v>
      </c>
      <c r="C20" s="663">
        <f ca="1">IF(ROWS($1:6)&gt;COUNT(Dong5),"",OFFSET(TH!E$1,SMALL(Dong5,ROWS($1:6)),))</f>
        <v>42546</v>
      </c>
      <c r="D20" s="664" t="str">
        <f ca="1">IF(ROWS($1:6)&gt;COUNT(Dong5),"",OFFSET(TH!F$1,SMALL(Dong5,ROWS($1:6)),))</f>
        <v>Phí quản lý tài khoản</v>
      </c>
      <c r="E20" s="663" t="str">
        <f ca="1">IF(ROWS($1:6)&gt;COUNT(Dong5),"",IF(OFFSET(TH!L$1,SMALL(Dong5,ROWS($1:6)),)=$E$7,OFFSET(TH!M$1,SMALL(Dong5,ROWS($1:6)),),OFFSET(TH!L$1,SMALL(Dong5,ROWS($1:6)),)))</f>
        <v>1121</v>
      </c>
      <c r="F20" s="665">
        <f ca="1">IF(ROWS($1:6)&gt;COUNT(Dong5),0,IF(OFFSET(TH!L$1,SMALL(Dong5,ROWS($1:6)),)=$E$7,OFFSET(TH!K$1,SMALL(Dong5,ROWS($1:6)),),0))</f>
        <v>10000</v>
      </c>
      <c r="G20" s="662">
        <f ca="1">IF(ROWS($1:6)&gt;COUNT(Dong5),0,IF(OFFSET(TH!M$1,SMALL(Dong5,ROWS($1:6)),)=$E$7,OFFSET(TH!K$1,SMALL(Dong5,ROWS($1:6)),),0))</f>
        <v>0</v>
      </c>
      <c r="H20" s="666">
        <f t="shared" ca="1" si="0"/>
        <v>0</v>
      </c>
      <c r="I20" s="666">
        <f t="shared" ca="1" si="1"/>
        <v>283747980</v>
      </c>
    </row>
    <row r="21" spans="1:9" ht="18" customHeight="1">
      <c r="A21" s="663">
        <f ca="1">IF(ROWS($1:7)&gt;COUNT(Dong5),"",OFFSET(TH!C$1,SMALL(Dong5,ROWS($1:7)),))</f>
        <v>42559</v>
      </c>
      <c r="B21" s="663" t="str">
        <f ca="1">IF(ROWS($1:7)&gt;COUNT(Dong5),"",OFFSET(TH!D$1,SMALL(Dong5,ROWS($1:7)),))</f>
        <v>GBN</v>
      </c>
      <c r="C21" s="663">
        <f ca="1">IF(ROWS($1:7)&gt;COUNT(Dong5),"",OFFSET(TH!E$1,SMALL(Dong5,ROWS($1:7)),))</f>
        <v>42559</v>
      </c>
      <c r="D21" s="664" t="str">
        <f ca="1">IF(ROWS($1:7)&gt;COUNT(Dong5),"",OFFSET(TH!F$1,SMALL(Dong5,ROWS($1:7)),))</f>
        <v>Phí chuyển tiền</v>
      </c>
      <c r="E21" s="663" t="str">
        <f ca="1">IF(ROWS($1:7)&gt;COUNT(Dong5),"",IF(OFFSET(TH!L$1,SMALL(Dong5,ROWS($1:7)),)=$E$7,OFFSET(TH!M$1,SMALL(Dong5,ROWS($1:7)),),OFFSET(TH!L$1,SMALL(Dong5,ROWS($1:7)),)))</f>
        <v>1121</v>
      </c>
      <c r="F21" s="665">
        <f ca="1">IF(ROWS($1:7)&gt;COUNT(Dong5),0,IF(OFFSET(TH!L$1,SMALL(Dong5,ROWS($1:7)),)=$E$7,OFFSET(TH!K$1,SMALL(Dong5,ROWS($1:7)),),0))</f>
        <v>20000</v>
      </c>
      <c r="G21" s="662">
        <f ca="1">IF(ROWS($1:7)&gt;COUNT(Dong5),0,IF(OFFSET(TH!M$1,SMALL(Dong5,ROWS($1:7)),)=$E$7,OFFSET(TH!K$1,SMALL(Dong5,ROWS($1:7)),),0))</f>
        <v>0</v>
      </c>
      <c r="H21" s="666">
        <f t="shared" ref="H21:H29" ca="1" si="2">IF(D21&lt;&gt;"",MAX(H20+F21-G21-I20,0),0)</f>
        <v>0</v>
      </c>
      <c r="I21" s="666">
        <f t="shared" ref="I21:I29" ca="1" si="3">IF(D21&lt;&gt;"",MAX(I20+G21-H20-F21,0),0)</f>
        <v>283727980</v>
      </c>
    </row>
    <row r="22" spans="1:9" ht="18" customHeight="1">
      <c r="A22" s="663">
        <f ca="1">IF(ROWS($1:8)&gt;COUNT(Dong5),"",OFFSET(TH!C$1,SMALL(Dong5,ROWS($1:8)),))</f>
        <v>42559</v>
      </c>
      <c r="B22" s="663" t="str">
        <f ca="1">IF(ROWS($1:8)&gt;COUNT(Dong5),"",OFFSET(TH!D$1,SMALL(Dong5,ROWS($1:8)),))</f>
        <v>GBN</v>
      </c>
      <c r="C22" s="663">
        <f ca="1">IF(ROWS($1:8)&gt;COUNT(Dong5),"",OFFSET(TH!E$1,SMALL(Dong5,ROWS($1:8)),))</f>
        <v>42559</v>
      </c>
      <c r="D22" s="664" t="str">
        <f ca="1">IF(ROWS($1:8)&gt;COUNT(Dong5),"",OFFSET(TH!F$1,SMALL(Dong5,ROWS($1:8)),))</f>
        <v>Phí chuyển tiền trong ngày</v>
      </c>
      <c r="E22" s="663" t="str">
        <f ca="1">IF(ROWS($1:8)&gt;COUNT(Dong5),"",IF(OFFSET(TH!L$1,SMALL(Dong5,ROWS($1:8)),)=$E$7,OFFSET(TH!M$1,SMALL(Dong5,ROWS($1:8)),),OFFSET(TH!L$1,SMALL(Dong5,ROWS($1:8)),)))</f>
        <v>1121</v>
      </c>
      <c r="F22" s="665">
        <f ca="1">IF(ROWS($1:8)&gt;COUNT(Dong5),0,IF(OFFSET(TH!L$1,SMALL(Dong5,ROWS($1:8)),)=$E$7,OFFSET(TH!K$1,SMALL(Dong5,ROWS($1:8)),),0))</f>
        <v>20000</v>
      </c>
      <c r="G22" s="662">
        <f ca="1">IF(ROWS($1:8)&gt;COUNT(Dong5),0,IF(OFFSET(TH!M$1,SMALL(Dong5,ROWS($1:8)),)=$E$7,OFFSET(TH!K$1,SMALL(Dong5,ROWS($1:8)),),0))</f>
        <v>0</v>
      </c>
      <c r="H22" s="666">
        <f t="shared" ca="1" si="2"/>
        <v>0</v>
      </c>
      <c r="I22" s="666">
        <f t="shared" ca="1" si="3"/>
        <v>283707980</v>
      </c>
    </row>
    <row r="23" spans="1:9" ht="18" customHeight="1">
      <c r="A23" s="663">
        <f ca="1">IF(ROWS($1:9)&gt;COUNT(Dong5),"",OFFSET(TH!C$1,SMALL(Dong5,ROWS($1:9)),))</f>
        <v>42576</v>
      </c>
      <c r="B23" s="663" t="str">
        <f ca="1">IF(ROWS($1:9)&gt;COUNT(Dong5),"",OFFSET(TH!D$1,SMALL(Dong5,ROWS($1:9)),))</f>
        <v>GBN</v>
      </c>
      <c r="C23" s="663">
        <f ca="1">IF(ROWS($1:9)&gt;COUNT(Dong5),"",OFFSET(TH!E$1,SMALL(Dong5,ROWS($1:9)),))</f>
        <v>42576</v>
      </c>
      <c r="D23" s="664" t="str">
        <f ca="1">IF(ROWS($1:9)&gt;COUNT(Dong5),"",OFFSET(TH!F$1,SMALL(Dong5,ROWS($1:9)),))</f>
        <v>Phí quản lý tài khoản</v>
      </c>
      <c r="E23" s="663" t="str">
        <f ca="1">IF(ROWS($1:9)&gt;COUNT(Dong5),"",IF(OFFSET(TH!L$1,SMALL(Dong5,ROWS($1:9)),)=$E$7,OFFSET(TH!M$1,SMALL(Dong5,ROWS($1:9)),),OFFSET(TH!L$1,SMALL(Dong5,ROWS($1:9)),)))</f>
        <v>1121</v>
      </c>
      <c r="F23" s="665">
        <f ca="1">IF(ROWS($1:9)&gt;COUNT(Dong5),0,IF(OFFSET(TH!L$1,SMALL(Dong5,ROWS($1:9)),)=$E$7,OFFSET(TH!K$1,SMALL(Dong5,ROWS($1:9)),),0))</f>
        <v>10000</v>
      </c>
      <c r="G23" s="662">
        <f ca="1">IF(ROWS($1:9)&gt;COUNT(Dong5),0,IF(OFFSET(TH!M$1,SMALL(Dong5,ROWS($1:9)),)=$E$7,OFFSET(TH!K$1,SMALL(Dong5,ROWS($1:9)),),0))</f>
        <v>0</v>
      </c>
      <c r="H23" s="666">
        <f t="shared" ca="1" si="2"/>
        <v>0</v>
      </c>
      <c r="I23" s="666">
        <f t="shared" ca="1" si="3"/>
        <v>283697980</v>
      </c>
    </row>
    <row r="24" spans="1:9" ht="18" customHeight="1">
      <c r="A24" s="663">
        <f ca="1">IF(ROWS($1:10)&gt;COUNT(Dong5),"",OFFSET(TH!C$1,SMALL(Dong5,ROWS($1:10)),))</f>
        <v>42576</v>
      </c>
      <c r="B24" s="663" t="str">
        <f ca="1">IF(ROWS($1:10)&gt;COUNT(Dong5),"",OFFSET(TH!D$1,SMALL(Dong5,ROWS($1:10)),))</f>
        <v>C07</v>
      </c>
      <c r="C24" s="663">
        <f ca="1">IF(ROWS($1:10)&gt;COUNT(Dong5),"",OFFSET(TH!E$1,SMALL(Dong5,ROWS($1:10)),))</f>
        <v>42576</v>
      </c>
      <c r="D24" s="664" t="str">
        <f ca="1">IF(ROWS($1:10)&gt;COUNT(Dong5),"",OFFSET(TH!F$1,SMALL(Dong5,ROWS($1:10)),))</f>
        <v>Đóng hộ tiền điện</v>
      </c>
      <c r="E24" s="663" t="str">
        <f ca="1">IF(ROWS($1:10)&gt;COUNT(Dong5),"",IF(OFFSET(TH!L$1,SMALL(Dong5,ROWS($1:10)),)=$E$7,OFFSET(TH!M$1,SMALL(Dong5,ROWS($1:10)),),OFFSET(TH!L$1,SMALL(Dong5,ROWS($1:10)),)))</f>
        <v>1111</v>
      </c>
      <c r="F24" s="665">
        <f ca="1">IF(ROWS($1:10)&gt;COUNT(Dong5),0,IF(OFFSET(TH!L$1,SMALL(Dong5,ROWS($1:10)),)=$E$7,OFFSET(TH!K$1,SMALL(Dong5,ROWS($1:10)),),0))</f>
        <v>17110500</v>
      </c>
      <c r="G24" s="662">
        <f ca="1">IF(ROWS($1:10)&gt;COUNT(Dong5),0,IF(OFFSET(TH!M$1,SMALL(Dong5,ROWS($1:10)),)=$E$7,OFFSET(TH!K$1,SMALL(Dong5,ROWS($1:10)),),0))</f>
        <v>0</v>
      </c>
      <c r="H24" s="666">
        <f t="shared" ca="1" si="2"/>
        <v>0</v>
      </c>
      <c r="I24" s="666">
        <f t="shared" ca="1" si="3"/>
        <v>266587480</v>
      </c>
    </row>
    <row r="25" spans="1:9" ht="18" customHeight="1">
      <c r="A25" s="663">
        <f ca="1">IF(ROWS($1:11)&gt;COUNT(Dong5),"",OFFSET(TH!C$1,SMALL(Dong5,ROWS($1:11)),))</f>
        <v>42582</v>
      </c>
      <c r="B25" s="663" t="str">
        <f ca="1">IF(ROWS($1:11)&gt;COUNT(Dong5),"",OFFSET(TH!D$1,SMALL(Dong5,ROWS($1:11)),))</f>
        <v>CTGS</v>
      </c>
      <c r="C25" s="663">
        <f ca="1">IF(ROWS($1:11)&gt;COUNT(Dong5),"",OFFSET(TH!E$1,SMALL(Dong5,ROWS($1:11)),))</f>
        <v>42582</v>
      </c>
      <c r="D25" s="664" t="str">
        <f ca="1">IF(ROWS($1:11)&gt;COUNT(Dong5),"",OFFSET(TH!F$1,SMALL(Dong5,ROWS($1:11)),))</f>
        <v>Tiền lương BP Văn phòng</v>
      </c>
      <c r="E25" s="663" t="str">
        <f ca="1">IF(ROWS($1:11)&gt;COUNT(Dong5),"",IF(OFFSET(TH!L$1,SMALL(Dong5,ROWS($1:11)),)=$E$7,OFFSET(TH!M$1,SMALL(Dong5,ROWS($1:11)),),OFFSET(TH!L$1,SMALL(Dong5,ROWS($1:11)),)))</f>
        <v>3341</v>
      </c>
      <c r="F25" s="665">
        <f ca="1">IF(ROWS($1:11)&gt;COUNT(Dong5),0,IF(OFFSET(TH!L$1,SMALL(Dong5,ROWS($1:11)),)=$E$7,OFFSET(TH!K$1,SMALL(Dong5,ROWS($1:11)),),0))</f>
        <v>4390000</v>
      </c>
      <c r="G25" s="662">
        <f ca="1">IF(ROWS($1:11)&gt;COUNT(Dong5),0,IF(OFFSET(TH!M$1,SMALL(Dong5,ROWS($1:11)),)=$E$7,OFFSET(TH!K$1,SMALL(Dong5,ROWS($1:11)),),0))</f>
        <v>0</v>
      </c>
      <c r="H25" s="666">
        <f t="shared" ca="1" si="2"/>
        <v>0</v>
      </c>
      <c r="I25" s="666">
        <f t="shared" ca="1" si="3"/>
        <v>262197480</v>
      </c>
    </row>
    <row r="26" spans="1:9" ht="18" customHeight="1">
      <c r="A26" s="663">
        <f ca="1">IF(ROWS($1:12)&gt;COUNT(Dong5),"",OFFSET(TH!C$1,SMALL(Dong5,ROWS($1:12)),))</f>
        <v>42590</v>
      </c>
      <c r="B26" s="663" t="str">
        <f ca="1">IF(ROWS($1:12)&gt;COUNT(Dong5),"",OFFSET(TH!D$1,SMALL(Dong5,ROWS($1:12)),))</f>
        <v>C12</v>
      </c>
      <c r="C26" s="663">
        <f ca="1">IF(ROWS($1:12)&gt;COUNT(Dong5),"",OFFSET(TH!E$1,SMALL(Dong5,ROWS($1:12)),))</f>
        <v>42590</v>
      </c>
      <c r="D26" s="664" t="str">
        <f ca="1">IF(ROWS($1:12)&gt;COUNT(Dong5),"",OFFSET(TH!F$1,SMALL(Dong5,ROWS($1:12)),))</f>
        <v>Khuông hộp</v>
      </c>
      <c r="E26" s="663" t="str">
        <f ca="1">IF(ROWS($1:12)&gt;COUNT(Dong5),"",IF(OFFSET(TH!L$1,SMALL(Dong5,ROWS($1:12)),)=$E$7,OFFSET(TH!M$1,SMALL(Dong5,ROWS($1:12)),),OFFSET(TH!L$1,SMALL(Dong5,ROWS($1:12)),)))</f>
        <v>1111</v>
      </c>
      <c r="F26" s="665">
        <f ca="1">IF(ROWS($1:12)&gt;COUNT(Dong5),0,IF(OFFSET(TH!L$1,SMALL(Dong5,ROWS($1:12)),)=$E$7,OFFSET(TH!K$1,SMALL(Dong5,ROWS($1:12)),),0))</f>
        <v>1400000</v>
      </c>
      <c r="G26" s="662">
        <f ca="1">IF(ROWS($1:12)&gt;COUNT(Dong5),0,IF(OFFSET(TH!M$1,SMALL(Dong5,ROWS($1:12)),)=$E$7,OFFSET(TH!K$1,SMALL(Dong5,ROWS($1:12)),),0))</f>
        <v>0</v>
      </c>
      <c r="H26" s="666">
        <f t="shared" ca="1" si="2"/>
        <v>0</v>
      </c>
      <c r="I26" s="666">
        <f t="shared" ca="1" si="3"/>
        <v>260797480</v>
      </c>
    </row>
    <row r="27" spans="1:9" ht="18" customHeight="1">
      <c r="A27" s="663">
        <f ca="1">IF(ROWS($1:13)&gt;COUNT(Dong5),"",OFFSET(TH!C$1,SMALL(Dong5,ROWS($1:13)),))</f>
        <v>42601</v>
      </c>
      <c r="B27" s="663" t="str">
        <f ca="1">IF(ROWS($1:13)&gt;COUNT(Dong5),"",OFFSET(TH!D$1,SMALL(Dong5,ROWS($1:13)),))</f>
        <v>GBN</v>
      </c>
      <c r="C27" s="663">
        <f ca="1">IF(ROWS($1:13)&gt;COUNT(Dong5),"",OFFSET(TH!E$1,SMALL(Dong5,ROWS($1:13)),))</f>
        <v>42601</v>
      </c>
      <c r="D27" s="664" t="str">
        <f ca="1">IF(ROWS($1:13)&gt;COUNT(Dong5),"",OFFSET(TH!F$1,SMALL(Dong5,ROWS($1:13)),))</f>
        <v>Phí chuyển tiền</v>
      </c>
      <c r="E27" s="663" t="str">
        <f ca="1">IF(ROWS($1:13)&gt;COUNT(Dong5),"",IF(OFFSET(TH!L$1,SMALL(Dong5,ROWS($1:13)),)=$E$7,OFFSET(TH!M$1,SMALL(Dong5,ROWS($1:13)),),OFFSET(TH!L$1,SMALL(Dong5,ROWS($1:13)),)))</f>
        <v>1121</v>
      </c>
      <c r="F27" s="665">
        <f ca="1">IF(ROWS($1:13)&gt;COUNT(Dong5),0,IF(OFFSET(TH!L$1,SMALL(Dong5,ROWS($1:13)),)=$E$7,OFFSET(TH!K$1,SMALL(Dong5,ROWS($1:13)),),0))</f>
        <v>10000</v>
      </c>
      <c r="G27" s="662">
        <f ca="1">IF(ROWS($1:13)&gt;COUNT(Dong5),0,IF(OFFSET(TH!M$1,SMALL(Dong5,ROWS($1:13)),)=$E$7,OFFSET(TH!K$1,SMALL(Dong5,ROWS($1:13)),),0))</f>
        <v>0</v>
      </c>
      <c r="H27" s="666">
        <f t="shared" ca="1" si="2"/>
        <v>0</v>
      </c>
      <c r="I27" s="666">
        <f t="shared" ca="1" si="3"/>
        <v>260787480</v>
      </c>
    </row>
    <row r="28" spans="1:9" ht="18" customHeight="1">
      <c r="A28" s="663">
        <f ca="1">IF(ROWS($1:14)&gt;COUNT(Dong5),"",OFFSET(TH!C$1,SMALL(Dong5,ROWS($1:14)),))</f>
        <v>42601</v>
      </c>
      <c r="B28" s="663" t="str">
        <f ca="1">IF(ROWS($1:14)&gt;COUNT(Dong5),"",OFFSET(TH!D$1,SMALL(Dong5,ROWS($1:14)),))</f>
        <v>GBN</v>
      </c>
      <c r="C28" s="663">
        <f ca="1">IF(ROWS($1:14)&gt;COUNT(Dong5),"",OFFSET(TH!E$1,SMALL(Dong5,ROWS($1:14)),))</f>
        <v>42601</v>
      </c>
      <c r="D28" s="664" t="str">
        <f ca="1">IF(ROWS($1:14)&gt;COUNT(Dong5),"",OFFSET(TH!F$1,SMALL(Dong5,ROWS($1:14)),))</f>
        <v>Phí chuyển tiền</v>
      </c>
      <c r="E28" s="663" t="str">
        <f ca="1">IF(ROWS($1:14)&gt;COUNT(Dong5),"",IF(OFFSET(TH!L$1,SMALL(Dong5,ROWS($1:14)),)=$E$7,OFFSET(TH!M$1,SMALL(Dong5,ROWS($1:14)),),OFFSET(TH!L$1,SMALL(Dong5,ROWS($1:14)),)))</f>
        <v>1121</v>
      </c>
      <c r="F28" s="665">
        <f ca="1">IF(ROWS($1:14)&gt;COUNT(Dong5),0,IF(OFFSET(TH!L$1,SMALL(Dong5,ROWS($1:14)),)=$E$7,OFFSET(TH!K$1,SMALL(Dong5,ROWS($1:14)),),0))</f>
        <v>20000</v>
      </c>
      <c r="G28" s="662">
        <f ca="1">IF(ROWS($1:14)&gt;COUNT(Dong5),0,IF(OFFSET(TH!M$1,SMALL(Dong5,ROWS($1:14)),)=$E$7,OFFSET(TH!K$1,SMALL(Dong5,ROWS($1:14)),),0))</f>
        <v>0</v>
      </c>
      <c r="H28" s="666">
        <f t="shared" ca="1" si="2"/>
        <v>0</v>
      </c>
      <c r="I28" s="666">
        <f t="shared" ca="1" si="3"/>
        <v>260767480</v>
      </c>
    </row>
    <row r="29" spans="1:9" ht="18" customHeight="1">
      <c r="A29" s="663">
        <f ca="1">IF(ROWS($1:15)&gt;COUNT(Dong5),"",OFFSET(TH!C$1,SMALL(Dong5,ROWS($1:15)),))</f>
        <v>42601</v>
      </c>
      <c r="B29" s="663" t="str">
        <f ca="1">IF(ROWS($1:15)&gt;COUNT(Dong5),"",OFFSET(TH!D$1,SMALL(Dong5,ROWS($1:15)),))</f>
        <v>GBN</v>
      </c>
      <c r="C29" s="663">
        <f ca="1">IF(ROWS($1:15)&gt;COUNT(Dong5),"",OFFSET(TH!E$1,SMALL(Dong5,ROWS($1:15)),))</f>
        <v>42601</v>
      </c>
      <c r="D29" s="664" t="str">
        <f ca="1">IF(ROWS($1:15)&gt;COUNT(Dong5),"",OFFSET(TH!F$1,SMALL(Dong5,ROWS($1:15)),))</f>
        <v>Phí chuyển tiền</v>
      </c>
      <c r="E29" s="663" t="str">
        <f ca="1">IF(ROWS($1:15)&gt;COUNT(Dong5),"",IF(OFFSET(TH!L$1,SMALL(Dong5,ROWS($1:15)),)=$E$7,OFFSET(TH!M$1,SMALL(Dong5,ROWS($1:15)),),OFFSET(TH!L$1,SMALL(Dong5,ROWS($1:15)),)))</f>
        <v>1121</v>
      </c>
      <c r="F29" s="665">
        <f ca="1">IF(ROWS($1:15)&gt;COUNT(Dong5),0,IF(OFFSET(TH!L$1,SMALL(Dong5,ROWS($1:15)),)=$E$7,OFFSET(TH!K$1,SMALL(Dong5,ROWS($1:15)),),0))</f>
        <v>20000</v>
      </c>
      <c r="G29" s="662">
        <f ca="1">IF(ROWS($1:15)&gt;COUNT(Dong5),0,IF(OFFSET(TH!M$1,SMALL(Dong5,ROWS($1:15)),)=$E$7,OFFSET(TH!K$1,SMALL(Dong5,ROWS($1:15)),),0))</f>
        <v>0</v>
      </c>
      <c r="H29" s="666">
        <f t="shared" ca="1" si="2"/>
        <v>0</v>
      </c>
      <c r="I29" s="666">
        <f t="shared" ca="1" si="3"/>
        <v>260747480</v>
      </c>
    </row>
    <row r="30" spans="1:9" ht="18" customHeight="1">
      <c r="A30" s="663">
        <f ca="1">IF(ROWS($1:16)&gt;COUNT(Dong5),"",OFFSET(TH!C$1,SMALL(Dong5,ROWS($1:16)),))</f>
        <v>42601</v>
      </c>
      <c r="B30" s="663" t="str">
        <f ca="1">IF(ROWS($1:16)&gt;COUNT(Dong5),"",OFFSET(TH!D$1,SMALL(Dong5,ROWS($1:16)),))</f>
        <v>GBN</v>
      </c>
      <c r="C30" s="663">
        <f ca="1">IF(ROWS($1:16)&gt;COUNT(Dong5),"",OFFSET(TH!E$1,SMALL(Dong5,ROWS($1:16)),))</f>
        <v>42601</v>
      </c>
      <c r="D30" s="664" t="str">
        <f ca="1">IF(ROWS($1:16)&gt;COUNT(Dong5),"",OFFSET(TH!F$1,SMALL(Dong5,ROWS($1:16)),))</f>
        <v>Phí kiểm đếm</v>
      </c>
      <c r="E30" s="663" t="str">
        <f ca="1">IF(ROWS($1:16)&gt;COUNT(Dong5),"",IF(OFFSET(TH!L$1,SMALL(Dong5,ROWS($1:16)),)=$E$7,OFFSET(TH!M$1,SMALL(Dong5,ROWS($1:16)),),OFFSET(TH!L$1,SMALL(Dong5,ROWS($1:16)),)))</f>
        <v>1121</v>
      </c>
      <c r="F30" s="665">
        <f ca="1">IF(ROWS($1:16)&gt;COUNT(Dong5),0,IF(OFFSET(TH!L$1,SMALL(Dong5,ROWS($1:16)),)=$E$7,OFFSET(TH!K$1,SMALL(Dong5,ROWS($1:16)),),0))</f>
        <v>83010</v>
      </c>
      <c r="G30" s="662">
        <f ca="1">IF(ROWS($1:16)&gt;COUNT(Dong5),0,IF(OFFSET(TH!M$1,SMALL(Dong5,ROWS($1:16)),)=$E$7,OFFSET(TH!K$1,SMALL(Dong5,ROWS($1:16)),),0))</f>
        <v>0</v>
      </c>
      <c r="H30" s="666">
        <f t="shared" ref="H30:H38" ca="1" si="4">IF(D30&lt;&gt;"",MAX(H29+F30-G30-I29,0),0)</f>
        <v>0</v>
      </c>
      <c r="I30" s="666">
        <f t="shared" ref="I30:I38" ca="1" si="5">IF(D30&lt;&gt;"",MAX(I29+G30-H29-F30,0),0)</f>
        <v>260664470</v>
      </c>
    </row>
    <row r="31" spans="1:9" ht="18" customHeight="1">
      <c r="A31" s="663">
        <f ca="1">IF(ROWS($1:17)&gt;COUNT(Dong5),"",OFFSET(TH!C$1,SMALL(Dong5,ROWS($1:17)),))</f>
        <v>42604</v>
      </c>
      <c r="B31" s="663" t="str">
        <f ca="1">IF(ROWS($1:17)&gt;COUNT(Dong5),"",OFFSET(TH!D$1,SMALL(Dong5,ROWS($1:17)),))</f>
        <v>C16</v>
      </c>
      <c r="C31" s="663">
        <f ca="1">IF(ROWS($1:17)&gt;COUNT(Dong5),"",OFFSET(TH!E$1,SMALL(Dong5,ROWS($1:17)),))</f>
        <v>42604</v>
      </c>
      <c r="D31" s="664" t="str">
        <f ca="1">IF(ROWS($1:17)&gt;COUNT(Dong5),"",OFFSET(TH!F$1,SMALL(Dong5,ROWS($1:17)),))</f>
        <v>Khuông hộp</v>
      </c>
      <c r="E31" s="663" t="str">
        <f ca="1">IF(ROWS($1:17)&gt;COUNT(Dong5),"",IF(OFFSET(TH!L$1,SMALL(Dong5,ROWS($1:17)),)=$E$7,OFFSET(TH!M$1,SMALL(Dong5,ROWS($1:17)),),OFFSET(TH!L$1,SMALL(Dong5,ROWS($1:17)),)))</f>
        <v>1111</v>
      </c>
      <c r="F31" s="665">
        <f ca="1">IF(ROWS($1:17)&gt;COUNT(Dong5),0,IF(OFFSET(TH!L$1,SMALL(Dong5,ROWS($1:17)),)=$E$7,OFFSET(TH!K$1,SMALL(Dong5,ROWS($1:17)),),0))</f>
        <v>1840000</v>
      </c>
      <c r="G31" s="662">
        <f ca="1">IF(ROWS($1:17)&gt;COUNT(Dong5),0,IF(OFFSET(TH!M$1,SMALL(Dong5,ROWS($1:17)),)=$E$7,OFFSET(TH!K$1,SMALL(Dong5,ROWS($1:17)),),0))</f>
        <v>0</v>
      </c>
      <c r="H31" s="666">
        <f t="shared" ca="1" si="4"/>
        <v>0</v>
      </c>
      <c r="I31" s="666">
        <f t="shared" ca="1" si="5"/>
        <v>258824470</v>
      </c>
    </row>
    <row r="32" spans="1:9" ht="18" customHeight="1">
      <c r="A32" s="663">
        <f ca="1">IF(ROWS($1:18)&gt;COUNT(Dong5),"",OFFSET(TH!C$1,SMALL(Dong5,ROWS($1:18)),))</f>
        <v>42607</v>
      </c>
      <c r="B32" s="663" t="str">
        <f ca="1">IF(ROWS($1:18)&gt;COUNT(Dong5),"",OFFSET(TH!D$1,SMALL(Dong5,ROWS($1:18)),))</f>
        <v>GBN</v>
      </c>
      <c r="C32" s="663">
        <f ca="1">IF(ROWS($1:18)&gt;COUNT(Dong5),"",OFFSET(TH!E$1,SMALL(Dong5,ROWS($1:18)),))</f>
        <v>42607</v>
      </c>
      <c r="D32" s="664" t="str">
        <f ca="1">IF(ROWS($1:18)&gt;COUNT(Dong5),"",OFFSET(TH!F$1,SMALL(Dong5,ROWS($1:18)),))</f>
        <v>Phí rút tiền</v>
      </c>
      <c r="E32" s="663" t="str">
        <f ca="1">IF(ROWS($1:18)&gt;COUNT(Dong5),"",IF(OFFSET(TH!L$1,SMALL(Dong5,ROWS($1:18)),)=$E$7,OFFSET(TH!M$1,SMALL(Dong5,ROWS($1:18)),),OFFSET(TH!L$1,SMALL(Dong5,ROWS($1:18)),)))</f>
        <v>1121</v>
      </c>
      <c r="F32" s="665">
        <f ca="1">IF(ROWS($1:18)&gt;COUNT(Dong5),0,IF(OFFSET(TH!L$1,SMALL(Dong5,ROWS($1:18)),)=$E$7,OFFSET(TH!K$1,SMALL(Dong5,ROWS($1:18)),),0))</f>
        <v>20000</v>
      </c>
      <c r="G32" s="662">
        <f ca="1">IF(ROWS($1:18)&gt;COUNT(Dong5),0,IF(OFFSET(TH!M$1,SMALL(Dong5,ROWS($1:18)),)=$E$7,OFFSET(TH!K$1,SMALL(Dong5,ROWS($1:18)),),0))</f>
        <v>0</v>
      </c>
      <c r="H32" s="666">
        <f t="shared" ca="1" si="4"/>
        <v>0</v>
      </c>
      <c r="I32" s="666">
        <f t="shared" ca="1" si="5"/>
        <v>258804470</v>
      </c>
    </row>
    <row r="33" spans="1:9" ht="18" customHeight="1">
      <c r="A33" s="663">
        <f ca="1">IF(ROWS($1:19)&gt;COUNT(Dong5),"",OFFSET(TH!C$1,SMALL(Dong5,ROWS($1:19)),))</f>
        <v>42607</v>
      </c>
      <c r="B33" s="663" t="str">
        <f ca="1">IF(ROWS($1:19)&gt;COUNT(Dong5),"",OFFSET(TH!D$1,SMALL(Dong5,ROWS($1:19)),))</f>
        <v>GBN</v>
      </c>
      <c r="C33" s="663">
        <f ca="1">IF(ROWS($1:19)&gt;COUNT(Dong5),"",OFFSET(TH!E$1,SMALL(Dong5,ROWS($1:19)),))</f>
        <v>42607</v>
      </c>
      <c r="D33" s="664" t="str">
        <f ca="1">IF(ROWS($1:19)&gt;COUNT(Dong5),"",OFFSET(TH!F$1,SMALL(Dong5,ROWS($1:19)),))</f>
        <v>Phí quản lý tài khoản</v>
      </c>
      <c r="E33" s="663" t="str">
        <f ca="1">IF(ROWS($1:19)&gt;COUNT(Dong5),"",IF(OFFSET(TH!L$1,SMALL(Dong5,ROWS($1:19)),)=$E$7,OFFSET(TH!M$1,SMALL(Dong5,ROWS($1:19)),),OFFSET(TH!L$1,SMALL(Dong5,ROWS($1:19)),)))</f>
        <v>1121</v>
      </c>
      <c r="F33" s="665">
        <f ca="1">IF(ROWS($1:19)&gt;COUNT(Dong5),0,IF(OFFSET(TH!L$1,SMALL(Dong5,ROWS($1:19)),)=$E$7,OFFSET(TH!K$1,SMALL(Dong5,ROWS($1:19)),),0))</f>
        <v>10000</v>
      </c>
      <c r="G33" s="662">
        <f ca="1">IF(ROWS($1:19)&gt;COUNT(Dong5),0,IF(OFFSET(TH!M$1,SMALL(Dong5,ROWS($1:19)),)=$E$7,OFFSET(TH!K$1,SMALL(Dong5,ROWS($1:19)),),0))</f>
        <v>0</v>
      </c>
      <c r="H33" s="666">
        <f t="shared" ca="1" si="4"/>
        <v>0</v>
      </c>
      <c r="I33" s="666">
        <f t="shared" ca="1" si="5"/>
        <v>258794470</v>
      </c>
    </row>
    <row r="34" spans="1:9" ht="18" customHeight="1">
      <c r="A34" s="663">
        <f ca="1">IF(ROWS($1:20)&gt;COUNT(Dong5),"",OFFSET(TH!C$1,SMALL(Dong5,ROWS($1:20)),))</f>
        <v>42613</v>
      </c>
      <c r="B34" s="663" t="str">
        <f ca="1">IF(ROWS($1:20)&gt;COUNT(Dong5),"",OFFSET(TH!D$1,SMALL(Dong5,ROWS($1:20)),))</f>
        <v>CTGS</v>
      </c>
      <c r="C34" s="663">
        <f ca="1">IF(ROWS($1:20)&gt;COUNT(Dong5),"",OFFSET(TH!E$1,SMALL(Dong5,ROWS($1:20)),))</f>
        <v>42613</v>
      </c>
      <c r="D34" s="664" t="str">
        <f ca="1">IF(ROWS($1:20)&gt;COUNT(Dong5),"",OFFSET(TH!F$1,SMALL(Dong5,ROWS($1:20)),))</f>
        <v>Tiền lương BP Văn phòng</v>
      </c>
      <c r="E34" s="663" t="str">
        <f ca="1">IF(ROWS($1:20)&gt;COUNT(Dong5),"",IF(OFFSET(TH!L$1,SMALL(Dong5,ROWS($1:20)),)=$E$7,OFFSET(TH!M$1,SMALL(Dong5,ROWS($1:20)),),OFFSET(TH!L$1,SMALL(Dong5,ROWS($1:20)),)))</f>
        <v>3341</v>
      </c>
      <c r="F34" s="665">
        <f ca="1">IF(ROWS($1:20)&gt;COUNT(Dong5),0,IF(OFFSET(TH!L$1,SMALL(Dong5,ROWS($1:20)),)=$E$7,OFFSET(TH!K$1,SMALL(Dong5,ROWS($1:20)),),0))</f>
        <v>4405000</v>
      </c>
      <c r="G34" s="662">
        <f ca="1">IF(ROWS($1:20)&gt;COUNT(Dong5),0,IF(OFFSET(TH!M$1,SMALL(Dong5,ROWS($1:20)),)=$E$7,OFFSET(TH!K$1,SMALL(Dong5,ROWS($1:20)),),0))</f>
        <v>0</v>
      </c>
      <c r="H34" s="666">
        <f t="shared" ca="1" si="4"/>
        <v>0</v>
      </c>
      <c r="I34" s="666">
        <f t="shared" ca="1" si="5"/>
        <v>254389470</v>
      </c>
    </row>
    <row r="35" spans="1:9" ht="18" customHeight="1">
      <c r="A35" s="663">
        <f ca="1">IF(ROWS($1:21)&gt;COUNT(Dong5),"",OFFSET(TH!C$1,SMALL(Dong5,ROWS($1:21)),))</f>
        <v>42614</v>
      </c>
      <c r="B35" s="663" t="str">
        <f ca="1">IF(ROWS($1:21)&gt;COUNT(Dong5),"",OFFSET(TH!D$1,SMALL(Dong5,ROWS($1:21)),))</f>
        <v>GBN</v>
      </c>
      <c r="C35" s="663">
        <f ca="1">IF(ROWS($1:21)&gt;COUNT(Dong5),"",OFFSET(TH!E$1,SMALL(Dong5,ROWS($1:21)),))</f>
        <v>42614</v>
      </c>
      <c r="D35" s="664" t="str">
        <f ca="1">IF(ROWS($1:21)&gt;COUNT(Dong5),"",OFFSET(TH!F$1,SMALL(Dong5,ROWS($1:21)),))</f>
        <v>Phí chuyển tiền</v>
      </c>
      <c r="E35" s="663" t="str">
        <f ca="1">IF(ROWS($1:21)&gt;COUNT(Dong5),"",IF(OFFSET(TH!L$1,SMALL(Dong5,ROWS($1:21)),)=$E$7,OFFSET(TH!M$1,SMALL(Dong5,ROWS($1:21)),),OFFSET(TH!L$1,SMALL(Dong5,ROWS($1:21)),)))</f>
        <v>1121</v>
      </c>
      <c r="F35" s="665">
        <f ca="1">IF(ROWS($1:21)&gt;COUNT(Dong5),0,IF(OFFSET(TH!L$1,SMALL(Dong5,ROWS($1:21)),)=$E$7,OFFSET(TH!K$1,SMALL(Dong5,ROWS($1:21)),),0))</f>
        <v>20000</v>
      </c>
      <c r="G35" s="662">
        <f ca="1">IF(ROWS($1:21)&gt;COUNT(Dong5),0,IF(OFFSET(TH!M$1,SMALL(Dong5,ROWS($1:21)),)=$E$7,OFFSET(TH!K$1,SMALL(Dong5,ROWS($1:21)),),0))</f>
        <v>0</v>
      </c>
      <c r="H35" s="666">
        <f t="shared" ca="1" si="4"/>
        <v>0</v>
      </c>
      <c r="I35" s="666">
        <f t="shared" ca="1" si="5"/>
        <v>254369470</v>
      </c>
    </row>
    <row r="36" spans="1:9" ht="18" customHeight="1">
      <c r="A36" s="663">
        <f ca="1">IF(ROWS($1:22)&gt;COUNT(Dong5),"",OFFSET(TH!C$1,SMALL(Dong5,ROWS($1:22)),))</f>
        <v>42622</v>
      </c>
      <c r="B36" s="663" t="str">
        <f ca="1">IF(ROWS($1:22)&gt;COUNT(Dong5),"",OFFSET(TH!D$1,SMALL(Dong5,ROWS($1:22)),))</f>
        <v>GBN</v>
      </c>
      <c r="C36" s="663">
        <f ca="1">IF(ROWS($1:22)&gt;COUNT(Dong5),"",OFFSET(TH!E$1,SMALL(Dong5,ROWS($1:22)),))</f>
        <v>42622</v>
      </c>
      <c r="D36" s="664" t="str">
        <f ca="1">IF(ROWS($1:22)&gt;COUNT(Dong5),"",OFFSET(TH!F$1,SMALL(Dong5,ROWS($1:22)),))</f>
        <v>Phí chuyển tiền</v>
      </c>
      <c r="E36" s="663" t="str">
        <f ca="1">IF(ROWS($1:22)&gt;COUNT(Dong5),"",IF(OFFSET(TH!L$1,SMALL(Dong5,ROWS($1:22)),)=$E$7,OFFSET(TH!M$1,SMALL(Dong5,ROWS($1:22)),),OFFSET(TH!L$1,SMALL(Dong5,ROWS($1:22)),)))</f>
        <v>1121</v>
      </c>
      <c r="F36" s="665">
        <f ca="1">IF(ROWS($1:22)&gt;COUNT(Dong5),0,IF(OFFSET(TH!L$1,SMALL(Dong5,ROWS($1:22)),)=$E$7,OFFSET(TH!K$1,SMALL(Dong5,ROWS($1:22)),),0))</f>
        <v>10000</v>
      </c>
      <c r="G36" s="662">
        <f ca="1">IF(ROWS($1:22)&gt;COUNT(Dong5),0,IF(OFFSET(TH!M$1,SMALL(Dong5,ROWS($1:22)),)=$E$7,OFFSET(TH!K$1,SMALL(Dong5,ROWS($1:22)),),0))</f>
        <v>0</v>
      </c>
      <c r="H36" s="666">
        <f t="shared" ca="1" si="4"/>
        <v>0</v>
      </c>
      <c r="I36" s="666">
        <f t="shared" ca="1" si="5"/>
        <v>254359470</v>
      </c>
    </row>
    <row r="37" spans="1:9" ht="18" customHeight="1">
      <c r="A37" s="663">
        <f ca="1">IF(ROWS($1:23)&gt;COUNT(Dong5),"",OFFSET(TH!C$1,SMALL(Dong5,ROWS($1:23)),))</f>
        <v>42626</v>
      </c>
      <c r="B37" s="663" t="str">
        <f ca="1">IF(ROWS($1:23)&gt;COUNT(Dong5),"",OFFSET(TH!D$1,SMALL(Dong5,ROWS($1:23)),))</f>
        <v>GBN</v>
      </c>
      <c r="C37" s="663">
        <f ca="1">IF(ROWS($1:23)&gt;COUNT(Dong5),"",OFFSET(TH!E$1,SMALL(Dong5,ROWS($1:23)),))</f>
        <v>42626</v>
      </c>
      <c r="D37" s="664" t="str">
        <f ca="1">IF(ROWS($1:23)&gt;COUNT(Dong5),"",OFFSET(TH!F$1,SMALL(Dong5,ROWS($1:23)),))</f>
        <v>Phí rút tiền</v>
      </c>
      <c r="E37" s="663" t="str">
        <f ca="1">IF(ROWS($1:23)&gt;COUNT(Dong5),"",IF(OFFSET(TH!L$1,SMALL(Dong5,ROWS($1:23)),)=$E$7,OFFSET(TH!M$1,SMALL(Dong5,ROWS($1:23)),),OFFSET(TH!L$1,SMALL(Dong5,ROWS($1:23)),)))</f>
        <v>1121</v>
      </c>
      <c r="F37" s="665">
        <f ca="1">IF(ROWS($1:23)&gt;COUNT(Dong5),0,IF(OFFSET(TH!L$1,SMALL(Dong5,ROWS($1:23)),)=$E$7,OFFSET(TH!K$1,SMALL(Dong5,ROWS($1:23)),),0))</f>
        <v>20000</v>
      </c>
      <c r="G37" s="662">
        <f ca="1">IF(ROWS($1:23)&gt;COUNT(Dong5),0,IF(OFFSET(TH!M$1,SMALL(Dong5,ROWS($1:23)),)=$E$7,OFFSET(TH!K$1,SMALL(Dong5,ROWS($1:23)),),0))</f>
        <v>0</v>
      </c>
      <c r="H37" s="666">
        <f t="shared" ca="1" si="4"/>
        <v>0</v>
      </c>
      <c r="I37" s="666">
        <f t="shared" ca="1" si="5"/>
        <v>254339470</v>
      </c>
    </row>
    <row r="38" spans="1:9" ht="18" customHeight="1">
      <c r="A38" s="663">
        <f ca="1">IF(ROWS($1:24)&gt;COUNT(Dong5),"",OFFSET(TH!C$1,SMALL(Dong5,ROWS($1:24)),))</f>
        <v>42628</v>
      </c>
      <c r="B38" s="663" t="str">
        <f ca="1">IF(ROWS($1:24)&gt;COUNT(Dong5),"",OFFSET(TH!D$1,SMALL(Dong5,ROWS($1:24)),))</f>
        <v>GBN</v>
      </c>
      <c r="C38" s="663">
        <f ca="1">IF(ROWS($1:24)&gt;COUNT(Dong5),"",OFFSET(TH!E$1,SMALL(Dong5,ROWS($1:24)),))</f>
        <v>42628</v>
      </c>
      <c r="D38" s="664" t="str">
        <f ca="1">IF(ROWS($1:24)&gt;COUNT(Dong5),"",OFFSET(TH!F$1,SMALL(Dong5,ROWS($1:24)),))</f>
        <v>Phí điều chỉnh chuyển tiền lại</v>
      </c>
      <c r="E38" s="663" t="str">
        <f ca="1">IF(ROWS($1:24)&gt;COUNT(Dong5),"",IF(OFFSET(TH!L$1,SMALL(Dong5,ROWS($1:24)),)=$E$7,OFFSET(TH!M$1,SMALL(Dong5,ROWS($1:24)),),OFFSET(TH!L$1,SMALL(Dong5,ROWS($1:24)),)))</f>
        <v>1121</v>
      </c>
      <c r="F38" s="665">
        <f ca="1">IF(ROWS($1:24)&gt;COUNT(Dong5),0,IF(OFFSET(TH!L$1,SMALL(Dong5,ROWS($1:24)),)=$E$7,OFFSET(TH!K$1,SMALL(Dong5,ROWS($1:24)),),0))</f>
        <v>30000</v>
      </c>
      <c r="G38" s="662">
        <f ca="1">IF(ROWS($1:24)&gt;COUNT(Dong5),0,IF(OFFSET(TH!M$1,SMALL(Dong5,ROWS($1:24)),)=$E$7,OFFSET(TH!K$1,SMALL(Dong5,ROWS($1:24)),),0))</f>
        <v>0</v>
      </c>
      <c r="H38" s="666">
        <f t="shared" ca="1" si="4"/>
        <v>0</v>
      </c>
      <c r="I38" s="666">
        <f t="shared" ca="1" si="5"/>
        <v>254309470</v>
      </c>
    </row>
    <row r="39" spans="1:9" ht="18" customHeight="1">
      <c r="A39" s="663">
        <f ca="1">IF(ROWS($1:25)&gt;COUNT(Dong5),"",OFFSET(TH!C$1,SMALL(Dong5,ROWS($1:25)),))</f>
        <v>42633</v>
      </c>
      <c r="B39" s="663" t="str">
        <f ca="1">IF(ROWS($1:25)&gt;COUNT(Dong5),"",OFFSET(TH!D$1,SMALL(Dong5,ROWS($1:25)),))</f>
        <v>GBN</v>
      </c>
      <c r="C39" s="663">
        <f ca="1">IF(ROWS($1:25)&gt;COUNT(Dong5),"",OFFSET(TH!E$1,SMALL(Dong5,ROWS($1:25)),))</f>
        <v>42633</v>
      </c>
      <c r="D39" s="664" t="str">
        <f ca="1">IF(ROWS($1:25)&gt;COUNT(Dong5),"",OFFSET(TH!F$1,SMALL(Dong5,ROWS($1:25)),))</f>
        <v>Phí chuyển tiền</v>
      </c>
      <c r="E39" s="663" t="str">
        <f ca="1">IF(ROWS($1:25)&gt;COUNT(Dong5),"",IF(OFFSET(TH!L$1,SMALL(Dong5,ROWS($1:25)),)=$E$7,OFFSET(TH!M$1,SMALL(Dong5,ROWS($1:25)),),OFFSET(TH!L$1,SMALL(Dong5,ROWS($1:25)),)))</f>
        <v>1121</v>
      </c>
      <c r="F39" s="665">
        <f ca="1">IF(ROWS($1:25)&gt;COUNT(Dong5),0,IF(OFFSET(TH!L$1,SMALL(Dong5,ROWS($1:25)),)=$E$7,OFFSET(TH!K$1,SMALL(Dong5,ROWS($1:25)),),0))</f>
        <v>20000</v>
      </c>
      <c r="G39" s="662">
        <f ca="1">IF(ROWS($1:25)&gt;COUNT(Dong5),0,IF(OFFSET(TH!M$1,SMALL(Dong5,ROWS($1:25)),)=$E$7,OFFSET(TH!K$1,SMALL(Dong5,ROWS($1:25)),),0))</f>
        <v>0</v>
      </c>
      <c r="H39" s="666">
        <f t="shared" ref="H39:H60" ca="1" si="6">IF(D39&lt;&gt;"",MAX(H38+F39-G39-I38,0),0)</f>
        <v>0</v>
      </c>
      <c r="I39" s="666">
        <f t="shared" ref="I39:I60" ca="1" si="7">IF(D39&lt;&gt;"",MAX(I38+G39-H38-F39,0),0)</f>
        <v>254289470</v>
      </c>
    </row>
    <row r="40" spans="1:9" ht="18" customHeight="1">
      <c r="A40" s="663">
        <f ca="1">IF(ROWS($1:26)&gt;COUNT(Dong5),"",OFFSET(TH!C$1,SMALL(Dong5,ROWS($1:26)),))</f>
        <v>42633</v>
      </c>
      <c r="B40" s="663" t="str">
        <f ca="1">IF(ROWS($1:26)&gt;COUNT(Dong5),"",OFFSET(TH!D$1,SMALL(Dong5,ROWS($1:26)),))</f>
        <v>GBN</v>
      </c>
      <c r="C40" s="663">
        <f ca="1">IF(ROWS($1:26)&gt;COUNT(Dong5),"",OFFSET(TH!E$1,SMALL(Dong5,ROWS($1:26)),))</f>
        <v>42633</v>
      </c>
      <c r="D40" s="664" t="str">
        <f ca="1">IF(ROWS($1:26)&gt;COUNT(Dong5),"",OFFSET(TH!F$1,SMALL(Dong5,ROWS($1:26)),))</f>
        <v>Phí kiểm đếm</v>
      </c>
      <c r="E40" s="663" t="str">
        <f ca="1">IF(ROWS($1:26)&gt;COUNT(Dong5),"",IF(OFFSET(TH!L$1,SMALL(Dong5,ROWS($1:26)),)=$E$7,OFFSET(TH!M$1,SMALL(Dong5,ROWS($1:26)),),OFFSET(TH!L$1,SMALL(Dong5,ROWS($1:26)),)))</f>
        <v>1121</v>
      </c>
      <c r="F40" s="665">
        <f ca="1">IF(ROWS($1:26)&gt;COUNT(Dong5),0,IF(OFFSET(TH!L$1,SMALL(Dong5,ROWS($1:26)),)=$E$7,OFFSET(TH!K$1,SMALL(Dong5,ROWS($1:26)),),0))</f>
        <v>20000</v>
      </c>
      <c r="G40" s="662">
        <f ca="1">IF(ROWS($1:26)&gt;COUNT(Dong5),0,IF(OFFSET(TH!M$1,SMALL(Dong5,ROWS($1:26)),)=$E$7,OFFSET(TH!K$1,SMALL(Dong5,ROWS($1:26)),),0))</f>
        <v>0</v>
      </c>
      <c r="H40" s="666">
        <f t="shared" ca="1" si="6"/>
        <v>0</v>
      </c>
      <c r="I40" s="666">
        <f t="shared" ca="1" si="7"/>
        <v>254269470</v>
      </c>
    </row>
    <row r="41" spans="1:9" ht="18" customHeight="1">
      <c r="A41" s="663">
        <f ca="1">IF(ROWS($1:27)&gt;COUNT(Dong5),"",OFFSET(TH!C$1,SMALL(Dong5,ROWS($1:27)),))</f>
        <v>42635</v>
      </c>
      <c r="B41" s="663" t="str">
        <f ca="1">IF(ROWS($1:27)&gt;COUNT(Dong5),"",OFFSET(TH!D$1,SMALL(Dong5,ROWS($1:27)),))</f>
        <v>GBN</v>
      </c>
      <c r="C41" s="663">
        <f ca="1">IF(ROWS($1:27)&gt;COUNT(Dong5),"",OFFSET(TH!E$1,SMALL(Dong5,ROWS($1:27)),))</f>
        <v>42635</v>
      </c>
      <c r="D41" s="664" t="str">
        <f ca="1">IF(ROWS($1:27)&gt;COUNT(Dong5),"",OFFSET(TH!F$1,SMALL(Dong5,ROWS($1:27)),))</f>
        <v>Phí chuyển tiền</v>
      </c>
      <c r="E41" s="663" t="str">
        <f ca="1">IF(ROWS($1:27)&gt;COUNT(Dong5),"",IF(OFFSET(TH!L$1,SMALL(Dong5,ROWS($1:27)),)=$E$7,OFFSET(TH!M$1,SMALL(Dong5,ROWS($1:27)),),OFFSET(TH!L$1,SMALL(Dong5,ROWS($1:27)),)))</f>
        <v>1121</v>
      </c>
      <c r="F41" s="665">
        <f ca="1">IF(ROWS($1:27)&gt;COUNT(Dong5),0,IF(OFFSET(TH!L$1,SMALL(Dong5,ROWS($1:27)),)=$E$7,OFFSET(TH!K$1,SMALL(Dong5,ROWS($1:27)),),0))</f>
        <v>20000</v>
      </c>
      <c r="G41" s="662">
        <f ca="1">IF(ROWS($1:27)&gt;COUNT(Dong5),0,IF(OFFSET(TH!M$1,SMALL(Dong5,ROWS($1:27)),)=$E$7,OFFSET(TH!K$1,SMALL(Dong5,ROWS($1:27)),),0))</f>
        <v>0</v>
      </c>
      <c r="H41" s="666">
        <f t="shared" ca="1" si="6"/>
        <v>0</v>
      </c>
      <c r="I41" s="666">
        <f t="shared" ca="1" si="7"/>
        <v>254249470</v>
      </c>
    </row>
    <row r="42" spans="1:9" ht="18" customHeight="1">
      <c r="A42" s="663">
        <f ca="1">IF(ROWS($1:28)&gt;COUNT(Dong5),"",OFFSET(TH!C$1,SMALL(Dong5,ROWS($1:28)),))</f>
        <v>42635</v>
      </c>
      <c r="B42" s="663" t="str">
        <f ca="1">IF(ROWS($1:28)&gt;COUNT(Dong5),"",OFFSET(TH!D$1,SMALL(Dong5,ROWS($1:28)),))</f>
        <v>GBN</v>
      </c>
      <c r="C42" s="663">
        <f ca="1">IF(ROWS($1:28)&gt;COUNT(Dong5),"",OFFSET(TH!E$1,SMALL(Dong5,ROWS($1:28)),))</f>
        <v>42635</v>
      </c>
      <c r="D42" s="664" t="str">
        <f ca="1">IF(ROWS($1:28)&gt;COUNT(Dong5),"",OFFSET(TH!F$1,SMALL(Dong5,ROWS($1:28)),))</f>
        <v>Phí kiểm đếm</v>
      </c>
      <c r="E42" s="663" t="str">
        <f ca="1">IF(ROWS($1:28)&gt;COUNT(Dong5),"",IF(OFFSET(TH!L$1,SMALL(Dong5,ROWS($1:28)),)=$E$7,OFFSET(TH!M$1,SMALL(Dong5,ROWS($1:28)),),OFFSET(TH!L$1,SMALL(Dong5,ROWS($1:28)),)))</f>
        <v>1121</v>
      </c>
      <c r="F42" s="665">
        <f ca="1">IF(ROWS($1:28)&gt;COUNT(Dong5),0,IF(OFFSET(TH!L$1,SMALL(Dong5,ROWS($1:28)),)=$E$7,OFFSET(TH!K$1,SMALL(Dong5,ROWS($1:28)),),0))</f>
        <v>20000</v>
      </c>
      <c r="G42" s="662">
        <f ca="1">IF(ROWS($1:28)&gt;COUNT(Dong5),0,IF(OFFSET(TH!M$1,SMALL(Dong5,ROWS($1:28)),)=$E$7,OFFSET(TH!K$1,SMALL(Dong5,ROWS($1:28)),),0))</f>
        <v>0</v>
      </c>
      <c r="H42" s="666">
        <f t="shared" ca="1" si="6"/>
        <v>0</v>
      </c>
      <c r="I42" s="666">
        <f t="shared" ca="1" si="7"/>
        <v>254229470</v>
      </c>
    </row>
    <row r="43" spans="1:9" ht="18" customHeight="1">
      <c r="A43" s="663">
        <f ca="1">IF(ROWS($1:29)&gt;COUNT(Dong5),"",OFFSET(TH!C$1,SMALL(Dong5,ROWS($1:29)),))</f>
        <v>42638</v>
      </c>
      <c r="B43" s="663" t="str">
        <f ca="1">IF(ROWS($1:29)&gt;COUNT(Dong5),"",OFFSET(TH!D$1,SMALL(Dong5,ROWS($1:29)),))</f>
        <v>GBN</v>
      </c>
      <c r="C43" s="663">
        <f ca="1">IF(ROWS($1:29)&gt;COUNT(Dong5),"",OFFSET(TH!E$1,SMALL(Dong5,ROWS($1:29)),))</f>
        <v>42638</v>
      </c>
      <c r="D43" s="664" t="str">
        <f ca="1">IF(ROWS($1:29)&gt;COUNT(Dong5),"",OFFSET(TH!F$1,SMALL(Dong5,ROWS($1:29)),))</f>
        <v>Phí quản lý tài khoản</v>
      </c>
      <c r="E43" s="663" t="str">
        <f ca="1">IF(ROWS($1:29)&gt;COUNT(Dong5),"",IF(OFFSET(TH!L$1,SMALL(Dong5,ROWS($1:29)),)=$E$7,OFFSET(TH!M$1,SMALL(Dong5,ROWS($1:29)),),OFFSET(TH!L$1,SMALL(Dong5,ROWS($1:29)),)))</f>
        <v>1121</v>
      </c>
      <c r="F43" s="665">
        <f ca="1">IF(ROWS($1:29)&gt;COUNT(Dong5),0,IF(OFFSET(TH!L$1,SMALL(Dong5,ROWS($1:29)),)=$E$7,OFFSET(TH!K$1,SMALL(Dong5,ROWS($1:29)),),0))</f>
        <v>10000</v>
      </c>
      <c r="G43" s="662">
        <f ca="1">IF(ROWS($1:29)&gt;COUNT(Dong5),0,IF(OFFSET(TH!M$1,SMALL(Dong5,ROWS($1:29)),)=$E$7,OFFSET(TH!K$1,SMALL(Dong5,ROWS($1:29)),),0))</f>
        <v>0</v>
      </c>
      <c r="H43" s="666">
        <f t="shared" ca="1" si="6"/>
        <v>0</v>
      </c>
      <c r="I43" s="666">
        <f t="shared" ca="1" si="7"/>
        <v>254219470</v>
      </c>
    </row>
    <row r="44" spans="1:9" ht="18" customHeight="1">
      <c r="A44" s="663">
        <f ca="1">IF(ROWS($1:30)&gt;COUNT(Dong5),"",OFFSET(TH!C$1,SMALL(Dong5,ROWS($1:30)),))</f>
        <v>42643</v>
      </c>
      <c r="B44" s="663" t="str">
        <f ca="1">IF(ROWS($1:30)&gt;COUNT(Dong5),"",OFFSET(TH!D$1,SMALL(Dong5,ROWS($1:30)),))</f>
        <v>CTGS</v>
      </c>
      <c r="C44" s="663">
        <f ca="1">IF(ROWS($1:30)&gt;COUNT(Dong5),"",OFFSET(TH!E$1,SMALL(Dong5,ROWS($1:30)),))</f>
        <v>42643</v>
      </c>
      <c r="D44" s="664" t="str">
        <f ca="1">IF(ROWS($1:30)&gt;COUNT(Dong5),"",OFFSET(TH!F$1,SMALL(Dong5,ROWS($1:30)),))</f>
        <v>Tiền lương BP Văn phòng</v>
      </c>
      <c r="E44" s="663" t="str">
        <f ca="1">IF(ROWS($1:30)&gt;COUNT(Dong5),"",IF(OFFSET(TH!L$1,SMALL(Dong5,ROWS($1:30)),)=$E$7,OFFSET(TH!M$1,SMALL(Dong5,ROWS($1:30)),),OFFSET(TH!L$1,SMALL(Dong5,ROWS($1:30)),)))</f>
        <v>3341</v>
      </c>
      <c r="F44" s="665">
        <f ca="1">IF(ROWS($1:30)&gt;COUNT(Dong5),0,IF(OFFSET(TH!L$1,SMALL(Dong5,ROWS($1:30)),)=$E$7,OFFSET(TH!K$1,SMALL(Dong5,ROWS($1:30)),),0))</f>
        <v>4375000</v>
      </c>
      <c r="G44" s="662">
        <f ca="1">IF(ROWS($1:30)&gt;COUNT(Dong5),0,IF(OFFSET(TH!M$1,SMALL(Dong5,ROWS($1:30)),)=$E$7,OFFSET(TH!K$1,SMALL(Dong5,ROWS($1:30)),),0))</f>
        <v>0</v>
      </c>
      <c r="H44" s="666">
        <f t="shared" ca="1" si="6"/>
        <v>0</v>
      </c>
      <c r="I44" s="666">
        <f t="shared" ca="1" si="7"/>
        <v>249844470</v>
      </c>
    </row>
    <row r="45" spans="1:9" ht="18" customHeight="1">
      <c r="A45" s="663">
        <f ca="1">IF(ROWS($1:31)&gt;COUNT(Dong5),"",OFFSET(TH!C$1,SMALL(Dong5,ROWS($1:31)),))</f>
        <v>42643</v>
      </c>
      <c r="B45" s="663" t="str">
        <f ca="1">IF(ROWS($1:31)&gt;COUNT(Dong5),"",OFFSET(TH!D$1,SMALL(Dong5,ROWS($1:31)),))</f>
        <v>CTGS</v>
      </c>
      <c r="C45" s="663">
        <f ca="1">IF(ROWS($1:31)&gt;COUNT(Dong5),"",OFFSET(TH!E$1,SMALL(Dong5,ROWS($1:31)),))</f>
        <v>42576</v>
      </c>
      <c r="D45" s="664" t="str">
        <f ca="1">IF(ROWS($1:31)&gt;COUNT(Dong5),"",OFFSET(TH!F$1,SMALL(Dong5,ROWS($1:31)),))</f>
        <v>Tiền thuê xưởng T07/2016</v>
      </c>
      <c r="E45" s="663" t="str">
        <f ca="1">IF(ROWS($1:31)&gt;COUNT(Dong5),"",IF(OFFSET(TH!L$1,SMALL(Dong5,ROWS($1:31)),)=$E$7,OFFSET(TH!M$1,SMALL(Dong5,ROWS($1:31)),),OFFSET(TH!L$1,SMALL(Dong5,ROWS($1:31)),)))</f>
        <v>331</v>
      </c>
      <c r="F45" s="665">
        <f ca="1">IF(ROWS($1:31)&gt;COUNT(Dong5),0,IF(OFFSET(TH!L$1,SMALL(Dong5,ROWS($1:31)),)=$E$7,OFFSET(TH!K$1,SMALL(Dong5,ROWS($1:31)),),0))</f>
        <v>37000000</v>
      </c>
      <c r="G45" s="662">
        <f ca="1">IF(ROWS($1:31)&gt;COUNT(Dong5),0,IF(OFFSET(TH!M$1,SMALL(Dong5,ROWS($1:31)),)=$E$7,OFFSET(TH!K$1,SMALL(Dong5,ROWS($1:31)),),0))</f>
        <v>0</v>
      </c>
      <c r="H45" s="666">
        <f t="shared" ca="1" si="6"/>
        <v>0</v>
      </c>
      <c r="I45" s="666">
        <f t="shared" ca="1" si="7"/>
        <v>212844470</v>
      </c>
    </row>
    <row r="46" spans="1:9" ht="18" customHeight="1">
      <c r="A46" s="663">
        <f ca="1">IF(ROWS($1:32)&gt;COUNT(Dong5),"",OFFSET(TH!C$1,SMALL(Dong5,ROWS($1:32)),))</f>
        <v>42643</v>
      </c>
      <c r="B46" s="663" t="str">
        <f ca="1">IF(ROWS($1:32)&gt;COUNT(Dong5),"",OFFSET(TH!D$1,SMALL(Dong5,ROWS($1:32)),))</f>
        <v>CTGS</v>
      </c>
      <c r="C46" s="663">
        <f ca="1">IF(ROWS($1:32)&gt;COUNT(Dong5),"",OFFSET(TH!E$1,SMALL(Dong5,ROWS($1:32)),))</f>
        <v>42602</v>
      </c>
      <c r="D46" s="664" t="str">
        <f ca="1">IF(ROWS($1:32)&gt;COUNT(Dong5),"",OFFSET(TH!F$1,SMALL(Dong5,ROWS($1:32)),))</f>
        <v>Tiền thuê xưởng T08/2016</v>
      </c>
      <c r="E46" s="663" t="str">
        <f ca="1">IF(ROWS($1:32)&gt;COUNT(Dong5),"",IF(OFFSET(TH!L$1,SMALL(Dong5,ROWS($1:32)),)=$E$7,OFFSET(TH!M$1,SMALL(Dong5,ROWS($1:32)),),OFFSET(TH!L$1,SMALL(Dong5,ROWS($1:32)),)))</f>
        <v>331</v>
      </c>
      <c r="F46" s="665">
        <f ca="1">IF(ROWS($1:32)&gt;COUNT(Dong5),0,IF(OFFSET(TH!L$1,SMALL(Dong5,ROWS($1:32)),)=$E$7,OFFSET(TH!K$1,SMALL(Dong5,ROWS($1:32)),),0))</f>
        <v>37000000</v>
      </c>
      <c r="G46" s="662">
        <f ca="1">IF(ROWS($1:32)&gt;COUNT(Dong5),0,IF(OFFSET(TH!M$1,SMALL(Dong5,ROWS($1:32)),)=$E$7,OFFSET(TH!K$1,SMALL(Dong5,ROWS($1:32)),),0))</f>
        <v>0</v>
      </c>
      <c r="H46" s="666">
        <f t="shared" ca="1" si="6"/>
        <v>0</v>
      </c>
      <c r="I46" s="666">
        <f t="shared" ca="1" si="7"/>
        <v>175844470</v>
      </c>
    </row>
    <row r="47" spans="1:9" ht="18" customHeight="1">
      <c r="A47" s="663">
        <f ca="1">IF(ROWS($1:33)&gt;COUNT(Dong5),"",OFFSET(TH!C$1,SMALL(Dong5,ROWS($1:33)),))</f>
        <v>42643</v>
      </c>
      <c r="B47" s="663" t="str">
        <f ca="1">IF(ROWS($1:33)&gt;COUNT(Dong5),"",OFFSET(TH!D$1,SMALL(Dong5,ROWS($1:33)),))</f>
        <v>CTGS</v>
      </c>
      <c r="C47" s="663">
        <f ca="1">IF(ROWS($1:33)&gt;COUNT(Dong5),"",OFFSET(TH!E$1,SMALL(Dong5,ROWS($1:33)),))</f>
        <v>42638</v>
      </c>
      <c r="D47" s="664" t="str">
        <f ca="1">IF(ROWS($1:33)&gt;COUNT(Dong5),"",OFFSET(TH!F$1,SMALL(Dong5,ROWS($1:33)),))</f>
        <v>Tiền thuê xưởng T09/2016</v>
      </c>
      <c r="E47" s="663" t="str">
        <f ca="1">IF(ROWS($1:33)&gt;COUNT(Dong5),"",IF(OFFSET(TH!L$1,SMALL(Dong5,ROWS($1:33)),)=$E$7,OFFSET(TH!M$1,SMALL(Dong5,ROWS($1:33)),),OFFSET(TH!L$1,SMALL(Dong5,ROWS($1:33)),)))</f>
        <v>331</v>
      </c>
      <c r="F47" s="665">
        <f ca="1">IF(ROWS($1:33)&gt;COUNT(Dong5),0,IF(OFFSET(TH!L$1,SMALL(Dong5,ROWS($1:33)),)=$E$7,OFFSET(TH!K$1,SMALL(Dong5,ROWS($1:33)),),0))</f>
        <v>37000000</v>
      </c>
      <c r="G47" s="662">
        <f ca="1">IF(ROWS($1:33)&gt;COUNT(Dong5),0,IF(OFFSET(TH!M$1,SMALL(Dong5,ROWS($1:33)),)=$E$7,OFFSET(TH!K$1,SMALL(Dong5,ROWS($1:33)),),0))</f>
        <v>0</v>
      </c>
      <c r="H47" s="666">
        <f t="shared" ca="1" si="6"/>
        <v>0</v>
      </c>
      <c r="I47" s="666">
        <f t="shared" ca="1" si="7"/>
        <v>138844470</v>
      </c>
    </row>
    <row r="48" spans="1:9" ht="18" customHeight="1">
      <c r="A48" s="663">
        <f ca="1">IF(ROWS($1:34)&gt;COUNT(Dong5),"",OFFSET(TH!C$1,SMALL(Dong5,ROWS($1:34)),))</f>
        <v>42644</v>
      </c>
      <c r="B48" s="663" t="str">
        <f ca="1">IF(ROWS($1:34)&gt;COUNT(Dong5),"",OFFSET(TH!D$1,SMALL(Dong5,ROWS($1:34)),))</f>
        <v>C02</v>
      </c>
      <c r="C48" s="663">
        <f ca="1">IF(ROWS($1:34)&gt;COUNT(Dong5),"",OFFSET(TH!E$1,SMALL(Dong5,ROWS($1:34)),))</f>
        <v>42644</v>
      </c>
      <c r="D48" s="664" t="str">
        <f ca="1">IF(ROWS($1:34)&gt;COUNT(Dong5),"",OFFSET(TH!F$1,SMALL(Dong5,ROWS($1:34)),))</f>
        <v>Vật dụng sửa xe</v>
      </c>
      <c r="E48" s="663" t="str">
        <f ca="1">IF(ROWS($1:34)&gt;COUNT(Dong5),"",IF(OFFSET(TH!L$1,SMALL(Dong5,ROWS($1:34)),)=$E$7,OFFSET(TH!M$1,SMALL(Dong5,ROWS($1:34)),),OFFSET(TH!L$1,SMALL(Dong5,ROWS($1:34)),)))</f>
        <v>1111</v>
      </c>
      <c r="F48" s="665">
        <f ca="1">IF(ROWS($1:34)&gt;COUNT(Dong5),0,IF(OFFSET(TH!L$1,SMALL(Dong5,ROWS($1:34)),)=$E$7,OFFSET(TH!K$1,SMALL(Dong5,ROWS($1:34)),),0))</f>
        <v>3910000</v>
      </c>
      <c r="G48" s="662">
        <f ca="1">IF(ROWS($1:34)&gt;COUNT(Dong5),0,IF(OFFSET(TH!M$1,SMALL(Dong5,ROWS($1:34)),)=$E$7,OFFSET(TH!K$1,SMALL(Dong5,ROWS($1:34)),),0))</f>
        <v>0</v>
      </c>
      <c r="H48" s="666">
        <f t="shared" ca="1" si="6"/>
        <v>0</v>
      </c>
      <c r="I48" s="666">
        <f t="shared" ca="1" si="7"/>
        <v>134934470</v>
      </c>
    </row>
    <row r="49" spans="1:9" ht="18" customHeight="1">
      <c r="A49" s="663">
        <f ca="1">IF(ROWS($1:35)&gt;COUNT(Dong5),"",OFFSET(TH!C$1,SMALL(Dong5,ROWS($1:35)),))</f>
        <v>42647</v>
      </c>
      <c r="B49" s="663" t="str">
        <f ca="1">IF(ROWS($1:35)&gt;COUNT(Dong5),"",OFFSET(TH!D$1,SMALL(Dong5,ROWS($1:35)),))</f>
        <v>GBN</v>
      </c>
      <c r="C49" s="663">
        <f ca="1">IF(ROWS($1:35)&gt;COUNT(Dong5),"",OFFSET(TH!E$1,SMALL(Dong5,ROWS($1:35)),))</f>
        <v>42647</v>
      </c>
      <c r="D49" s="664" t="str">
        <f ca="1">IF(ROWS($1:35)&gt;COUNT(Dong5),"",OFFSET(TH!F$1,SMALL(Dong5,ROWS($1:35)),))</f>
        <v>Phí chuyển tiền</v>
      </c>
      <c r="E49" s="663" t="str">
        <f ca="1">IF(ROWS($1:35)&gt;COUNT(Dong5),"",IF(OFFSET(TH!L$1,SMALL(Dong5,ROWS($1:35)),)=$E$7,OFFSET(TH!M$1,SMALL(Dong5,ROWS($1:35)),),OFFSET(TH!L$1,SMALL(Dong5,ROWS($1:35)),)))</f>
        <v>1121</v>
      </c>
      <c r="F49" s="665">
        <f ca="1">IF(ROWS($1:35)&gt;COUNT(Dong5),0,IF(OFFSET(TH!L$1,SMALL(Dong5,ROWS($1:35)),)=$E$7,OFFSET(TH!K$1,SMALL(Dong5,ROWS($1:35)),),0))</f>
        <v>10000</v>
      </c>
      <c r="G49" s="662">
        <f ca="1">IF(ROWS($1:35)&gt;COUNT(Dong5),0,IF(OFFSET(TH!M$1,SMALL(Dong5,ROWS($1:35)),)=$E$7,OFFSET(TH!K$1,SMALL(Dong5,ROWS($1:35)),),0))</f>
        <v>0</v>
      </c>
      <c r="H49" s="666">
        <f t="shared" ca="1" si="6"/>
        <v>0</v>
      </c>
      <c r="I49" s="666">
        <f t="shared" ca="1" si="7"/>
        <v>134924470</v>
      </c>
    </row>
    <row r="50" spans="1:9" ht="18" customHeight="1">
      <c r="A50" s="663">
        <f ca="1">IF(ROWS($1:36)&gt;COUNT(Dong5),"",OFFSET(TH!C$1,SMALL(Dong5,ROWS($1:36)),))</f>
        <v>42658</v>
      </c>
      <c r="B50" s="663" t="str">
        <f ca="1">IF(ROWS($1:36)&gt;COUNT(Dong5),"",OFFSET(TH!D$1,SMALL(Dong5,ROWS($1:36)),))</f>
        <v>CTGS</v>
      </c>
      <c r="C50" s="663">
        <f ca="1">IF(ROWS($1:36)&gt;COUNT(Dong5),"",OFFSET(TH!E$1,SMALL(Dong5,ROWS($1:36)),))</f>
        <v>42658</v>
      </c>
      <c r="D50" s="664" t="str">
        <f ca="1">IF(ROWS($1:36)&gt;COUNT(Dong5),"",OFFSET(TH!F$1,SMALL(Dong5,ROWS($1:36)),))</f>
        <v>Tiền thuê xưởng T10/2016</v>
      </c>
      <c r="E50" s="663" t="str">
        <f ca="1">IF(ROWS($1:36)&gt;COUNT(Dong5),"",IF(OFFSET(TH!L$1,SMALL(Dong5,ROWS($1:36)),)=$E$7,OFFSET(TH!M$1,SMALL(Dong5,ROWS($1:36)),),OFFSET(TH!L$1,SMALL(Dong5,ROWS($1:36)),)))</f>
        <v>331</v>
      </c>
      <c r="F50" s="665">
        <f ca="1">IF(ROWS($1:36)&gt;COUNT(Dong5),0,IF(OFFSET(TH!L$1,SMALL(Dong5,ROWS($1:36)),)=$E$7,OFFSET(TH!K$1,SMALL(Dong5,ROWS($1:36)),),0))</f>
        <v>37000000</v>
      </c>
      <c r="G50" s="662">
        <f ca="1">IF(ROWS($1:36)&gt;COUNT(Dong5),0,IF(OFFSET(TH!M$1,SMALL(Dong5,ROWS($1:36)),)=$E$7,OFFSET(TH!K$1,SMALL(Dong5,ROWS($1:36)),),0))</f>
        <v>0</v>
      </c>
      <c r="H50" s="666">
        <f t="shared" ca="1" si="6"/>
        <v>0</v>
      </c>
      <c r="I50" s="666">
        <f t="shared" ca="1" si="7"/>
        <v>97924470</v>
      </c>
    </row>
    <row r="51" spans="1:9" ht="18" customHeight="1">
      <c r="A51" s="663">
        <f ca="1">IF(ROWS($1:37)&gt;COUNT(Dong5),"",OFFSET(TH!C$1,SMALL(Dong5,ROWS($1:37)),))</f>
        <v>42663</v>
      </c>
      <c r="B51" s="663" t="str">
        <f ca="1">IF(ROWS($1:37)&gt;COUNT(Dong5),"",OFFSET(TH!D$1,SMALL(Dong5,ROWS($1:37)),))</f>
        <v>C07</v>
      </c>
      <c r="C51" s="663">
        <f ca="1">IF(ROWS($1:37)&gt;COUNT(Dong5),"",OFFSET(TH!E$1,SMALL(Dong5,ROWS($1:37)),))</f>
        <v>42663</v>
      </c>
      <c r="D51" s="664" t="str">
        <f ca="1">IF(ROWS($1:37)&gt;COUNT(Dong5),"",OFFSET(TH!F$1,SMALL(Dong5,ROWS($1:37)),))</f>
        <v>Văn phòng phẩm</v>
      </c>
      <c r="E51" s="663" t="str">
        <f ca="1">IF(ROWS($1:37)&gt;COUNT(Dong5),"",IF(OFFSET(TH!L$1,SMALL(Dong5,ROWS($1:37)),)=$E$7,OFFSET(TH!M$1,SMALL(Dong5,ROWS($1:37)),),OFFSET(TH!L$1,SMALL(Dong5,ROWS($1:37)),)))</f>
        <v>1111</v>
      </c>
      <c r="F51" s="665">
        <f ca="1">IF(ROWS($1:37)&gt;COUNT(Dong5),0,IF(OFFSET(TH!L$1,SMALL(Dong5,ROWS($1:37)),)=$E$7,OFFSET(TH!K$1,SMALL(Dong5,ROWS($1:37)),),0))</f>
        <v>934000</v>
      </c>
      <c r="G51" s="662">
        <f ca="1">IF(ROWS($1:37)&gt;COUNT(Dong5),0,IF(OFFSET(TH!M$1,SMALL(Dong5,ROWS($1:37)),)=$E$7,OFFSET(TH!K$1,SMALL(Dong5,ROWS($1:37)),),0))</f>
        <v>0</v>
      </c>
      <c r="H51" s="666">
        <f t="shared" ca="1" si="6"/>
        <v>0</v>
      </c>
      <c r="I51" s="666">
        <f t="shared" ca="1" si="7"/>
        <v>96990470</v>
      </c>
    </row>
    <row r="52" spans="1:9" ht="18" customHeight="1">
      <c r="A52" s="663">
        <f ca="1">IF(ROWS($1:38)&gt;COUNT(Dong5),"",OFFSET(TH!C$1,SMALL(Dong5,ROWS($1:38)),))</f>
        <v>42668</v>
      </c>
      <c r="B52" s="663" t="str">
        <f ca="1">IF(ROWS($1:38)&gt;COUNT(Dong5),"",OFFSET(TH!D$1,SMALL(Dong5,ROWS($1:38)),))</f>
        <v>GBN</v>
      </c>
      <c r="C52" s="663">
        <f ca="1">IF(ROWS($1:38)&gt;COUNT(Dong5),"",OFFSET(TH!E$1,SMALL(Dong5,ROWS($1:38)),))</f>
        <v>42668</v>
      </c>
      <c r="D52" s="664" t="str">
        <f ca="1">IF(ROWS($1:38)&gt;COUNT(Dong5),"",OFFSET(TH!F$1,SMALL(Dong5,ROWS($1:38)),))</f>
        <v>Phí quản lý tài khoản</v>
      </c>
      <c r="E52" s="663" t="str">
        <f ca="1">IF(ROWS($1:38)&gt;COUNT(Dong5),"",IF(OFFSET(TH!L$1,SMALL(Dong5,ROWS($1:38)),)=$E$7,OFFSET(TH!M$1,SMALL(Dong5,ROWS($1:38)),),OFFSET(TH!L$1,SMALL(Dong5,ROWS($1:38)),)))</f>
        <v>1121</v>
      </c>
      <c r="F52" s="665">
        <f ca="1">IF(ROWS($1:38)&gt;COUNT(Dong5),0,IF(OFFSET(TH!L$1,SMALL(Dong5,ROWS($1:38)),)=$E$7,OFFSET(TH!K$1,SMALL(Dong5,ROWS($1:38)),),0))</f>
        <v>10000</v>
      </c>
      <c r="G52" s="662">
        <f ca="1">IF(ROWS($1:38)&gt;COUNT(Dong5),0,IF(OFFSET(TH!M$1,SMALL(Dong5,ROWS($1:38)),)=$E$7,OFFSET(TH!K$1,SMALL(Dong5,ROWS($1:38)),),0))</f>
        <v>0</v>
      </c>
      <c r="H52" s="666">
        <f t="shared" ca="1" si="6"/>
        <v>0</v>
      </c>
      <c r="I52" s="666">
        <f t="shared" ca="1" si="7"/>
        <v>96980470</v>
      </c>
    </row>
    <row r="53" spans="1:9" ht="18" customHeight="1">
      <c r="A53" s="663">
        <f ca="1">IF(ROWS($1:39)&gt;COUNT(Dong5),"",OFFSET(TH!C$1,SMALL(Dong5,ROWS($1:39)),))</f>
        <v>42674</v>
      </c>
      <c r="B53" s="663" t="str">
        <f ca="1">IF(ROWS($1:39)&gt;COUNT(Dong5),"",OFFSET(TH!D$1,SMALL(Dong5,ROWS($1:39)),))</f>
        <v>CTGS</v>
      </c>
      <c r="C53" s="663">
        <f ca="1">IF(ROWS($1:39)&gt;COUNT(Dong5),"",OFFSET(TH!E$1,SMALL(Dong5,ROWS($1:39)),))</f>
        <v>42674</v>
      </c>
      <c r="D53" s="664" t="str">
        <f ca="1">IF(ROWS($1:39)&gt;COUNT(Dong5),"",OFFSET(TH!F$1,SMALL(Dong5,ROWS($1:39)),))</f>
        <v>Tiền lương BP Văn phòng</v>
      </c>
      <c r="E53" s="663" t="str">
        <f ca="1">IF(ROWS($1:39)&gt;COUNT(Dong5),"",IF(OFFSET(TH!L$1,SMALL(Dong5,ROWS($1:39)),)=$E$7,OFFSET(TH!M$1,SMALL(Dong5,ROWS($1:39)),),OFFSET(TH!L$1,SMALL(Dong5,ROWS($1:39)),)))</f>
        <v>3341</v>
      </c>
      <c r="F53" s="665">
        <f ca="1">IF(ROWS($1:39)&gt;COUNT(Dong5),0,IF(OFFSET(TH!L$1,SMALL(Dong5,ROWS($1:39)),)=$E$7,OFFSET(TH!K$1,SMALL(Dong5,ROWS($1:39)),),0))</f>
        <v>4390000</v>
      </c>
      <c r="G53" s="662">
        <f ca="1">IF(ROWS($1:39)&gt;COUNT(Dong5),0,IF(OFFSET(TH!M$1,SMALL(Dong5,ROWS($1:39)),)=$E$7,OFFSET(TH!K$1,SMALL(Dong5,ROWS($1:39)),),0))</f>
        <v>0</v>
      </c>
      <c r="H53" s="666">
        <f t="shared" ca="1" si="6"/>
        <v>0</v>
      </c>
      <c r="I53" s="666">
        <f t="shared" ca="1" si="7"/>
        <v>92590470</v>
      </c>
    </row>
    <row r="54" spans="1:9" ht="18" customHeight="1">
      <c r="A54" s="663">
        <f ca="1">IF(ROWS($1:40)&gt;COUNT(Dong5),"",OFFSET(TH!C$1,SMALL(Dong5,ROWS($1:40)),))</f>
        <v>42678</v>
      </c>
      <c r="B54" s="663" t="str">
        <f ca="1">IF(ROWS($1:40)&gt;COUNT(Dong5),"",OFFSET(TH!D$1,SMALL(Dong5,ROWS($1:40)),))</f>
        <v>GBN</v>
      </c>
      <c r="C54" s="663">
        <f ca="1">IF(ROWS($1:40)&gt;COUNT(Dong5),"",OFFSET(TH!E$1,SMALL(Dong5,ROWS($1:40)),))</f>
        <v>42678</v>
      </c>
      <c r="D54" s="664" t="str">
        <f ca="1">IF(ROWS($1:40)&gt;COUNT(Dong5),"",OFFSET(TH!F$1,SMALL(Dong5,ROWS($1:40)),))</f>
        <v>Phí chuyển tiền</v>
      </c>
      <c r="E54" s="663" t="str">
        <f ca="1">IF(ROWS($1:40)&gt;COUNT(Dong5),"",IF(OFFSET(TH!L$1,SMALL(Dong5,ROWS($1:40)),)=$E$7,OFFSET(TH!M$1,SMALL(Dong5,ROWS($1:40)),),OFFSET(TH!L$1,SMALL(Dong5,ROWS($1:40)),)))</f>
        <v>1121</v>
      </c>
      <c r="F54" s="665">
        <f ca="1">IF(ROWS($1:40)&gt;COUNT(Dong5),0,IF(OFFSET(TH!L$1,SMALL(Dong5,ROWS($1:40)),)=$E$7,OFFSET(TH!K$1,SMALL(Dong5,ROWS($1:40)),),0))</f>
        <v>20000</v>
      </c>
      <c r="G54" s="662">
        <f ca="1">IF(ROWS($1:40)&gt;COUNT(Dong5),0,IF(OFFSET(TH!M$1,SMALL(Dong5,ROWS($1:40)),)=$E$7,OFFSET(TH!K$1,SMALL(Dong5,ROWS($1:40)),),0))</f>
        <v>0</v>
      </c>
      <c r="H54" s="666">
        <f t="shared" ca="1" si="6"/>
        <v>0</v>
      </c>
      <c r="I54" s="666">
        <f t="shared" ca="1" si="7"/>
        <v>92570470</v>
      </c>
    </row>
    <row r="55" spans="1:9" ht="18" customHeight="1">
      <c r="A55" s="663">
        <f ca="1">IF(ROWS($1:41)&gt;COUNT(Dong5),"",OFFSET(TH!C$1,SMALL(Dong5,ROWS($1:41)),))</f>
        <v>42679</v>
      </c>
      <c r="B55" s="663" t="str">
        <f ca="1">IF(ROWS($1:41)&gt;COUNT(Dong5),"",OFFSET(TH!D$1,SMALL(Dong5,ROWS($1:41)),))</f>
        <v>C13</v>
      </c>
      <c r="C55" s="663">
        <f ca="1">IF(ROWS($1:41)&gt;COUNT(Dong5),"",OFFSET(TH!E$1,SMALL(Dong5,ROWS($1:41)),))</f>
        <v>42679</v>
      </c>
      <c r="D55" s="664" t="str">
        <f ca="1">IF(ROWS($1:41)&gt;COUNT(Dong5),"",OFFSET(TH!F$1,SMALL(Dong5,ROWS($1:41)),))</f>
        <v>Vật dụng sửa xe</v>
      </c>
      <c r="E55" s="663" t="str">
        <f ca="1">IF(ROWS($1:41)&gt;COUNT(Dong5),"",IF(OFFSET(TH!L$1,SMALL(Dong5,ROWS($1:41)),)=$E$7,OFFSET(TH!M$1,SMALL(Dong5,ROWS($1:41)),),OFFSET(TH!L$1,SMALL(Dong5,ROWS($1:41)),)))</f>
        <v>1111</v>
      </c>
      <c r="F55" s="665">
        <f ca="1">IF(ROWS($1:41)&gt;COUNT(Dong5),0,IF(OFFSET(TH!L$1,SMALL(Dong5,ROWS($1:41)),)=$E$7,OFFSET(TH!K$1,SMALL(Dong5,ROWS($1:41)),),0))</f>
        <v>3910000</v>
      </c>
      <c r="G55" s="662">
        <f ca="1">IF(ROWS($1:41)&gt;COUNT(Dong5),0,IF(OFFSET(TH!M$1,SMALL(Dong5,ROWS($1:41)),)=$E$7,OFFSET(TH!K$1,SMALL(Dong5,ROWS($1:41)),),0))</f>
        <v>0</v>
      </c>
      <c r="H55" s="666">
        <f t="shared" ca="1" si="6"/>
        <v>0</v>
      </c>
      <c r="I55" s="666">
        <f t="shared" ca="1" si="7"/>
        <v>88660470</v>
      </c>
    </row>
    <row r="56" spans="1:9" ht="18" customHeight="1">
      <c r="A56" s="663">
        <f ca="1">IF(ROWS($1:42)&gt;COUNT(Dong5),"",OFFSET(TH!C$1,SMALL(Dong5,ROWS($1:42)),))</f>
        <v>42683</v>
      </c>
      <c r="B56" s="663" t="str">
        <f ca="1">IF(ROWS($1:42)&gt;COUNT(Dong5),"",OFFSET(TH!D$1,SMALL(Dong5,ROWS($1:42)),))</f>
        <v>C14</v>
      </c>
      <c r="C56" s="663">
        <f ca="1">IF(ROWS($1:42)&gt;COUNT(Dong5),"",OFFSET(TH!E$1,SMALL(Dong5,ROWS($1:42)),))</f>
        <v>42683</v>
      </c>
      <c r="D56" s="664" t="str">
        <f ca="1">IF(ROWS($1:42)&gt;COUNT(Dong5),"",OFFSET(TH!F$1,SMALL(Dong5,ROWS($1:42)),))</f>
        <v>Xe nâng tay</v>
      </c>
      <c r="E56" s="663" t="str">
        <f ca="1">IF(ROWS($1:42)&gt;COUNT(Dong5),"",IF(OFFSET(TH!L$1,SMALL(Dong5,ROWS($1:42)),)=$E$7,OFFSET(TH!M$1,SMALL(Dong5,ROWS($1:42)),),OFFSET(TH!L$1,SMALL(Dong5,ROWS($1:42)),)))</f>
        <v>1111</v>
      </c>
      <c r="F56" s="665">
        <f ca="1">IF(ROWS($1:42)&gt;COUNT(Dong5),0,IF(OFFSET(TH!L$1,SMALL(Dong5,ROWS($1:42)),)=$E$7,OFFSET(TH!K$1,SMALL(Dong5,ROWS($1:42)),),0))</f>
        <v>3150000</v>
      </c>
      <c r="G56" s="662">
        <f ca="1">IF(ROWS($1:42)&gt;COUNT(Dong5),0,IF(OFFSET(TH!M$1,SMALL(Dong5,ROWS($1:42)),)=$E$7,OFFSET(TH!K$1,SMALL(Dong5,ROWS($1:42)),),0))</f>
        <v>0</v>
      </c>
      <c r="H56" s="666">
        <f t="shared" ca="1" si="6"/>
        <v>0</v>
      </c>
      <c r="I56" s="666">
        <f t="shared" ca="1" si="7"/>
        <v>85510470</v>
      </c>
    </row>
    <row r="57" spans="1:9" ht="18" customHeight="1">
      <c r="A57" s="663">
        <f ca="1">IF(ROWS($1:43)&gt;COUNT(Dong5),"",OFFSET(TH!C$1,SMALL(Dong5,ROWS($1:43)),))</f>
        <v>42685</v>
      </c>
      <c r="B57" s="663" t="str">
        <f ca="1">IF(ROWS($1:43)&gt;COUNT(Dong5),"",OFFSET(TH!D$1,SMALL(Dong5,ROWS($1:43)),))</f>
        <v>GBN</v>
      </c>
      <c r="C57" s="663">
        <f ca="1">IF(ROWS($1:43)&gt;COUNT(Dong5),"",OFFSET(TH!E$1,SMALL(Dong5,ROWS($1:43)),))</f>
        <v>42685</v>
      </c>
      <c r="D57" s="664" t="str">
        <f ca="1">IF(ROWS($1:43)&gt;COUNT(Dong5),"",OFFSET(TH!F$1,SMALL(Dong5,ROWS($1:43)),))</f>
        <v>Phí chuyển tiền</v>
      </c>
      <c r="E57" s="663" t="str">
        <f ca="1">IF(ROWS($1:43)&gt;COUNT(Dong5),"",IF(OFFSET(TH!L$1,SMALL(Dong5,ROWS($1:43)),)=$E$7,OFFSET(TH!M$1,SMALL(Dong5,ROWS($1:43)),),OFFSET(TH!L$1,SMALL(Dong5,ROWS($1:43)),)))</f>
        <v>1121</v>
      </c>
      <c r="F57" s="665">
        <f ca="1">IF(ROWS($1:43)&gt;COUNT(Dong5),0,IF(OFFSET(TH!L$1,SMALL(Dong5,ROWS($1:43)),)=$E$7,OFFSET(TH!K$1,SMALL(Dong5,ROWS($1:43)),),0))</f>
        <v>20000</v>
      </c>
      <c r="G57" s="662">
        <f ca="1">IF(ROWS($1:43)&gt;COUNT(Dong5),0,IF(OFFSET(TH!M$1,SMALL(Dong5,ROWS($1:43)),)=$E$7,OFFSET(TH!K$1,SMALL(Dong5,ROWS($1:43)),),0))</f>
        <v>0</v>
      </c>
      <c r="H57" s="666">
        <f t="shared" ca="1" si="6"/>
        <v>0</v>
      </c>
      <c r="I57" s="666">
        <f t="shared" ca="1" si="7"/>
        <v>85490470</v>
      </c>
    </row>
    <row r="58" spans="1:9" ht="18" customHeight="1">
      <c r="A58" s="663">
        <f ca="1">IF(ROWS($1:44)&gt;COUNT(Dong5),"",OFFSET(TH!C$1,SMALL(Dong5,ROWS($1:44)),))</f>
        <v>42688</v>
      </c>
      <c r="B58" s="663" t="str">
        <f ca="1">IF(ROWS($1:44)&gt;COUNT(Dong5),"",OFFSET(TH!D$1,SMALL(Dong5,ROWS($1:44)),))</f>
        <v>GBN</v>
      </c>
      <c r="C58" s="663">
        <f ca="1">IF(ROWS($1:44)&gt;COUNT(Dong5),"",OFFSET(TH!E$1,SMALL(Dong5,ROWS($1:44)),))</f>
        <v>42688</v>
      </c>
      <c r="D58" s="664" t="str">
        <f ca="1">IF(ROWS($1:44)&gt;COUNT(Dong5),"",OFFSET(TH!F$1,SMALL(Dong5,ROWS($1:44)),))</f>
        <v>Phí nộp tiền chuyển trong ngày</v>
      </c>
      <c r="E58" s="663" t="str">
        <f ca="1">IF(ROWS($1:44)&gt;COUNT(Dong5),"",IF(OFFSET(TH!L$1,SMALL(Dong5,ROWS($1:44)),)=$E$7,OFFSET(TH!M$1,SMALL(Dong5,ROWS($1:44)),),OFFSET(TH!L$1,SMALL(Dong5,ROWS($1:44)),)))</f>
        <v>1121</v>
      </c>
      <c r="F58" s="665">
        <f ca="1">IF(ROWS($1:44)&gt;COUNT(Dong5),0,IF(OFFSET(TH!L$1,SMALL(Dong5,ROWS($1:44)),)=$E$7,OFFSET(TH!K$1,SMALL(Dong5,ROWS($1:44)),),0))</f>
        <v>20000</v>
      </c>
      <c r="G58" s="662">
        <f ca="1">IF(ROWS($1:44)&gt;COUNT(Dong5),0,IF(OFFSET(TH!M$1,SMALL(Dong5,ROWS($1:44)),)=$E$7,OFFSET(TH!K$1,SMALL(Dong5,ROWS($1:44)),),0))</f>
        <v>0</v>
      </c>
      <c r="H58" s="666">
        <f t="shared" ca="1" si="6"/>
        <v>0</v>
      </c>
      <c r="I58" s="666">
        <f t="shared" ca="1" si="7"/>
        <v>85470470</v>
      </c>
    </row>
    <row r="59" spans="1:9" ht="18" customHeight="1">
      <c r="A59" s="663">
        <f ca="1">IF(ROWS($1:45)&gt;COUNT(Dong5),"",OFFSET(TH!C$1,SMALL(Dong5,ROWS($1:45)),))</f>
        <v>42688</v>
      </c>
      <c r="B59" s="663" t="str">
        <f ca="1">IF(ROWS($1:45)&gt;COUNT(Dong5),"",OFFSET(TH!D$1,SMALL(Dong5,ROWS($1:45)),))</f>
        <v>GBN</v>
      </c>
      <c r="C59" s="663">
        <f ca="1">IF(ROWS($1:45)&gt;COUNT(Dong5),"",OFFSET(TH!E$1,SMALL(Dong5,ROWS($1:45)),))</f>
        <v>42688</v>
      </c>
      <c r="D59" s="664" t="str">
        <f ca="1">IF(ROWS($1:45)&gt;COUNT(Dong5),"",OFFSET(TH!F$1,SMALL(Dong5,ROWS($1:45)),))</f>
        <v>Phí chuyển tiền</v>
      </c>
      <c r="E59" s="663" t="str">
        <f ca="1">IF(ROWS($1:45)&gt;COUNT(Dong5),"",IF(OFFSET(TH!L$1,SMALL(Dong5,ROWS($1:45)),)=$E$7,OFFSET(TH!M$1,SMALL(Dong5,ROWS($1:45)),),OFFSET(TH!L$1,SMALL(Dong5,ROWS($1:45)),)))</f>
        <v>1121</v>
      </c>
      <c r="F59" s="665">
        <f ca="1">IF(ROWS($1:45)&gt;COUNT(Dong5),0,IF(OFFSET(TH!L$1,SMALL(Dong5,ROWS($1:45)),)=$E$7,OFFSET(TH!K$1,SMALL(Dong5,ROWS($1:45)),),0))</f>
        <v>10000</v>
      </c>
      <c r="G59" s="662">
        <f ca="1">IF(ROWS($1:45)&gt;COUNT(Dong5),0,IF(OFFSET(TH!M$1,SMALL(Dong5,ROWS($1:45)),)=$E$7,OFFSET(TH!K$1,SMALL(Dong5,ROWS($1:45)),),0))</f>
        <v>0</v>
      </c>
      <c r="H59" s="666">
        <f t="shared" ca="1" si="6"/>
        <v>0</v>
      </c>
      <c r="I59" s="666">
        <f t="shared" ca="1" si="7"/>
        <v>85460470</v>
      </c>
    </row>
    <row r="60" spans="1:9" ht="18" customHeight="1">
      <c r="A60" s="663">
        <f ca="1">IF(ROWS($1:46)&gt;COUNT(Dong5),"",OFFSET(TH!C$1,SMALL(Dong5,ROWS($1:46)),))</f>
        <v>42689</v>
      </c>
      <c r="B60" s="663" t="str">
        <f ca="1">IF(ROWS($1:46)&gt;COUNT(Dong5),"",OFFSET(TH!D$1,SMALL(Dong5,ROWS($1:46)),))</f>
        <v>CTGS</v>
      </c>
      <c r="C60" s="663">
        <f ca="1">IF(ROWS($1:46)&gt;COUNT(Dong5),"",OFFSET(TH!E$1,SMALL(Dong5,ROWS($1:46)),))</f>
        <v>42689</v>
      </c>
      <c r="D60" s="664" t="str">
        <f ca="1">IF(ROWS($1:46)&gt;COUNT(Dong5),"",OFFSET(TH!F$1,SMALL(Dong5,ROWS($1:46)),))</f>
        <v>Tiền thuê xưởng T11/2016</v>
      </c>
      <c r="E60" s="663" t="str">
        <f ca="1">IF(ROWS($1:46)&gt;COUNT(Dong5),"",IF(OFFSET(TH!L$1,SMALL(Dong5,ROWS($1:46)),)=$E$7,OFFSET(TH!M$1,SMALL(Dong5,ROWS($1:46)),),OFFSET(TH!L$1,SMALL(Dong5,ROWS($1:46)),)))</f>
        <v>331</v>
      </c>
      <c r="F60" s="665">
        <f ca="1">IF(ROWS($1:46)&gt;COUNT(Dong5),0,IF(OFFSET(TH!L$1,SMALL(Dong5,ROWS($1:46)),)=$E$7,OFFSET(TH!K$1,SMALL(Dong5,ROWS($1:46)),),0))</f>
        <v>37000000</v>
      </c>
      <c r="G60" s="662">
        <f ca="1">IF(ROWS($1:46)&gt;COUNT(Dong5),0,IF(OFFSET(TH!M$1,SMALL(Dong5,ROWS($1:46)),)=$E$7,OFFSET(TH!K$1,SMALL(Dong5,ROWS($1:46)),),0))</f>
        <v>0</v>
      </c>
      <c r="H60" s="666">
        <f t="shared" ca="1" si="6"/>
        <v>0</v>
      </c>
      <c r="I60" s="666">
        <f t="shared" ca="1" si="7"/>
        <v>48460470</v>
      </c>
    </row>
    <row r="61" spans="1:9" ht="18" customHeight="1">
      <c r="A61" s="663"/>
      <c r="B61" s="663"/>
      <c r="C61" s="663"/>
      <c r="D61" s="664"/>
      <c r="E61" s="663"/>
      <c r="F61" s="665"/>
      <c r="G61" s="662"/>
      <c r="H61" s="666"/>
      <c r="I61" s="666"/>
    </row>
    <row r="62" spans="1:9" ht="18" customHeight="1">
      <c r="A62" s="663"/>
      <c r="B62" s="667"/>
      <c r="C62" s="663"/>
      <c r="D62" s="668" t="s">
        <v>128</v>
      </c>
      <c r="E62" s="667" t="s">
        <v>19</v>
      </c>
      <c r="F62" s="669">
        <f ca="1">SUM(F15:F61)</f>
        <v>242277510</v>
      </c>
      <c r="G62" s="669">
        <f ca="1">SUM(G15:G61)</f>
        <v>290737980</v>
      </c>
      <c r="H62" s="669" t="s">
        <v>19</v>
      </c>
      <c r="I62" s="669" t="s">
        <v>19</v>
      </c>
    </row>
    <row r="63" spans="1:9" ht="18" customHeight="1">
      <c r="A63" s="670"/>
      <c r="B63" s="671"/>
      <c r="C63" s="670"/>
      <c r="D63" s="672" t="s">
        <v>10</v>
      </c>
      <c r="E63" s="671" t="s">
        <v>19</v>
      </c>
      <c r="F63" s="673" t="s">
        <v>19</v>
      </c>
      <c r="G63" s="673" t="s">
        <v>19</v>
      </c>
      <c r="H63" s="674">
        <f ca="1">MAX(H14+F62-G62-I14,0)</f>
        <v>0</v>
      </c>
      <c r="I63" s="674">
        <f ca="1">MAX(I14+G62-F62-H14,0)</f>
        <v>48460470</v>
      </c>
    </row>
    <row r="64" spans="1:9" ht="9.75" customHeight="1"/>
    <row r="65" spans="1:9">
      <c r="C65" s="94" t="s">
        <v>149</v>
      </c>
    </row>
    <row r="66" spans="1:9">
      <c r="C66" s="675" t="str">
        <f ca="1">"- Ngày mở sổ: "&amp;DAY($A$15)&amp;"/"&amp;MONTH($A$15)&amp;"/ " &amp;YEAR($A$15)</f>
        <v>- Ngày mở sổ: 31/12/ 2016</v>
      </c>
    </row>
    <row r="67" spans="1:9" ht="13.5" customHeight="1">
      <c r="E67" s="836" t="str">
        <f ca="1">"Ngày 31 tháng  12  năm  "&amp;YEAR($A$15)</f>
        <v>Ngày 31 tháng  12  năm  2016</v>
      </c>
      <c r="F67" s="836"/>
      <c r="G67" s="836"/>
      <c r="H67" s="836"/>
      <c r="I67" s="836"/>
    </row>
    <row r="68" spans="1:9">
      <c r="A68" s="836" t="s">
        <v>11</v>
      </c>
      <c r="B68" s="836"/>
      <c r="C68" s="836"/>
      <c r="D68" s="836"/>
      <c r="E68" s="836" t="s">
        <v>12</v>
      </c>
      <c r="F68" s="836"/>
      <c r="G68" s="836"/>
      <c r="H68" s="836"/>
      <c r="I68" s="836"/>
    </row>
    <row r="69" spans="1:9">
      <c r="A69" s="836" t="s">
        <v>13</v>
      </c>
      <c r="B69" s="836"/>
      <c r="C69" s="836"/>
      <c r="D69" s="836"/>
      <c r="E69" s="836" t="s">
        <v>13</v>
      </c>
      <c r="F69" s="836"/>
      <c r="G69" s="836"/>
      <c r="H69" s="836"/>
      <c r="I69" s="836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E67:I6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104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76" customWidth="1"/>
    <col min="3" max="4" width="6.5703125" style="76" customWidth="1"/>
    <col min="5" max="5" width="34.5703125" style="76" customWidth="1"/>
    <col min="6" max="6" width="6.28515625" style="76" customWidth="1"/>
    <col min="7" max="9" width="14.42578125" style="76" customWidth="1"/>
    <col min="10" max="10" width="6.28515625" style="76" customWidth="1"/>
    <col min="11" max="11" width="2.140625" style="76" customWidth="1"/>
    <col min="12" max="12" width="10" style="76" customWidth="1"/>
    <col min="13" max="13" width="3.28515625" style="76" customWidth="1"/>
    <col min="14" max="15" width="6.140625" style="76" customWidth="1"/>
    <col min="16" max="16384" width="9.140625" style="76"/>
  </cols>
  <sheetData>
    <row r="1" spans="1:15" s="293" customFormat="1" ht="16.5" customHeight="1">
      <c r="A1" s="97" t="str">
        <f>TH!A1</f>
        <v>Đơn vị: CÔNG TY TNHH BAO BÌ GIẤY KIM DUNG PHÁT</v>
      </c>
      <c r="B1" s="2"/>
      <c r="C1" s="2"/>
      <c r="D1" s="2"/>
      <c r="E1" s="2"/>
      <c r="G1" s="839" t="s">
        <v>114</v>
      </c>
      <c r="H1" s="839"/>
      <c r="I1" s="839"/>
      <c r="J1" s="839"/>
    </row>
    <row r="2" spans="1:15" s="293" customFormat="1" ht="16.5" customHeight="1">
      <c r="A2" s="63" t="str">
        <f>TH!A2</f>
        <v>Địa chỉ: Ấp Rừng Sến, xã Mỹ Hạnh Bắc, Huyện Đức Hòa, Tỉnh Long An, Việt Nam</v>
      </c>
      <c r="B2" s="634"/>
      <c r="C2" s="634"/>
      <c r="D2" s="634"/>
      <c r="E2" s="634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  <c r="J2" s="840"/>
    </row>
    <row r="3" spans="1:15" s="293" customFormat="1" ht="16.5" customHeight="1">
      <c r="A3" s="403"/>
      <c r="B3" s="634"/>
      <c r="C3" s="75"/>
      <c r="D3" s="75"/>
      <c r="E3" s="634"/>
      <c r="G3" s="840"/>
      <c r="H3" s="840"/>
      <c r="I3" s="840"/>
      <c r="J3" s="840"/>
    </row>
    <row r="4" spans="1:15" s="293" customFormat="1" ht="6.75" customHeight="1">
      <c r="A4" s="634"/>
      <c r="B4" s="634"/>
      <c r="C4" s="634"/>
      <c r="D4" s="634"/>
      <c r="E4" s="634"/>
      <c r="G4" s="635"/>
      <c r="H4" s="635"/>
      <c r="I4" s="635"/>
      <c r="J4" s="635"/>
    </row>
    <row r="5" spans="1:15" ht="30.75" customHeight="1">
      <c r="A5" s="848" t="s">
        <v>115</v>
      </c>
      <c r="B5" s="848"/>
      <c r="C5" s="848"/>
      <c r="D5" s="848"/>
      <c r="E5" s="848"/>
      <c r="F5" s="848"/>
      <c r="G5" s="848"/>
      <c r="H5" s="848"/>
      <c r="I5" s="848"/>
      <c r="J5" s="848"/>
    </row>
    <row r="6" spans="1:15" ht="14.25" customHeight="1">
      <c r="A6" s="850" t="str">
        <f ca="1">$L$11&amp;" / "&amp;YEAR($A$14)</f>
        <v>Quý IV / 2016</v>
      </c>
      <c r="B6" s="850"/>
      <c r="C6" s="850"/>
      <c r="D6" s="850"/>
      <c r="E6" s="850"/>
      <c r="F6" s="850"/>
      <c r="G6" s="850"/>
      <c r="H6" s="850"/>
      <c r="I6" s="850"/>
      <c r="J6" s="850"/>
    </row>
    <row r="7" spans="1:15">
      <c r="A7" s="849" t="s">
        <v>116</v>
      </c>
      <c r="B7" s="849"/>
      <c r="C7" s="849"/>
      <c r="D7" s="849"/>
      <c r="E7" s="849"/>
      <c r="F7" s="849"/>
      <c r="G7" s="849"/>
      <c r="H7" s="849"/>
      <c r="I7" s="849"/>
      <c r="J7" s="849"/>
    </row>
    <row r="8" spans="1:15">
      <c r="A8" s="849" t="s">
        <v>117</v>
      </c>
      <c r="B8" s="849"/>
      <c r="C8" s="849"/>
      <c r="D8" s="849"/>
      <c r="E8" s="849"/>
      <c r="F8" s="849"/>
      <c r="G8" s="849"/>
      <c r="H8" s="849"/>
      <c r="I8" s="849"/>
      <c r="J8" s="849"/>
    </row>
    <row r="9" spans="1:15">
      <c r="A9" s="77"/>
      <c r="I9" s="77" t="s">
        <v>118</v>
      </c>
    </row>
    <row r="10" spans="1:15" ht="33" customHeight="1" thickBot="1">
      <c r="A10" s="852" t="s">
        <v>20</v>
      </c>
      <c r="B10" s="852" t="s">
        <v>119</v>
      </c>
      <c r="C10" s="851" t="s">
        <v>120</v>
      </c>
      <c r="D10" s="851"/>
      <c r="E10" s="851" t="s">
        <v>0</v>
      </c>
      <c r="F10" s="852" t="s">
        <v>14</v>
      </c>
      <c r="G10" s="851" t="s">
        <v>21</v>
      </c>
      <c r="H10" s="851"/>
      <c r="I10" s="851" t="s">
        <v>121</v>
      </c>
      <c r="J10" s="851" t="s">
        <v>122</v>
      </c>
      <c r="L10" s="637"/>
      <c r="N10" s="828" t="s">
        <v>322</v>
      </c>
      <c r="O10" s="828"/>
    </row>
    <row r="11" spans="1:15" ht="24" customHeight="1" thickBot="1">
      <c r="A11" s="853"/>
      <c r="B11" s="853"/>
      <c r="C11" s="638" t="s">
        <v>123</v>
      </c>
      <c r="D11" s="638" t="s">
        <v>124</v>
      </c>
      <c r="E11" s="851"/>
      <c r="F11" s="853"/>
      <c r="G11" s="638" t="s">
        <v>22</v>
      </c>
      <c r="H11" s="638" t="s">
        <v>23</v>
      </c>
      <c r="I11" s="851"/>
      <c r="J11" s="851"/>
      <c r="L11" s="448" t="s">
        <v>359</v>
      </c>
      <c r="N11" s="506">
        <f>IF(L11="Quý I",1,IF(L11="Quý II",4,IF(L11="Quý III",7,IF(L11="Quý IV",10,""))))</f>
        <v>10</v>
      </c>
      <c r="O11" s="506">
        <f>IF(L11="Quý I",3,IF(L11="Quý II",6,IF(L11="Quý III",9,IF(L11="Quý IV",12,""))))</f>
        <v>12</v>
      </c>
    </row>
    <row r="12" spans="1:15" ht="11.25" customHeight="1">
      <c r="A12" s="638" t="s">
        <v>2</v>
      </c>
      <c r="B12" s="638" t="s">
        <v>3</v>
      </c>
      <c r="C12" s="638" t="s">
        <v>4</v>
      </c>
      <c r="D12" s="638" t="s">
        <v>5</v>
      </c>
      <c r="E12" s="638" t="s">
        <v>6</v>
      </c>
      <c r="F12" s="638" t="s">
        <v>125</v>
      </c>
      <c r="G12" s="638">
        <v>1</v>
      </c>
      <c r="H12" s="638">
        <v>2</v>
      </c>
      <c r="I12" s="638">
        <v>3</v>
      </c>
      <c r="J12" s="638" t="s">
        <v>126</v>
      </c>
      <c r="N12" s="411"/>
      <c r="O12" s="411"/>
    </row>
    <row r="13" spans="1:15" s="78" customFormat="1" ht="21.75" customHeight="1">
      <c r="A13" s="79"/>
      <c r="B13" s="79"/>
      <c r="C13" s="79"/>
      <c r="D13" s="79"/>
      <c r="E13" s="79" t="s">
        <v>127</v>
      </c>
      <c r="F13" s="80"/>
      <c r="G13" s="81"/>
      <c r="H13" s="79"/>
      <c r="I13" s="98">
        <f>IF($L$11="All",CDPS!$C$10,CDPS!$C$10+SUMIF(_N111,"x",TH)-SUMIF(_C111,"x",TH))</f>
        <v>1561850415</v>
      </c>
      <c r="J13" s="79"/>
      <c r="N13" s="410"/>
      <c r="O13" s="410"/>
    </row>
    <row r="14" spans="1:15" ht="21.75" customHeight="1">
      <c r="A14" s="82">
        <f ca="1">IF(ROWS($1:1)&gt;COUNT(Dong1),"",OFFSET(TH!C$1,SMALL(Dong1,ROWS($1:1)),))</f>
        <v>42644</v>
      </c>
      <c r="B14" s="82">
        <f ca="1">IF(ROWS($1:1)&gt;COUNT(Dong1),"",OFFSET(TH!E$1,SMALL(Dong1,ROWS($1:1)),))</f>
        <v>42643</v>
      </c>
      <c r="C14" s="83" t="str">
        <f ca="1">IF(ROWS($1:1)&gt;COUNT(Dong1),"",IF(OFFSET(TH!L$1,SMALL(Dong1,ROWS($1:1)),)="1111",OFFSET(TH!D$1,SMALL(Dong1,ROWS($1:1)),),""))</f>
        <v/>
      </c>
      <c r="D14" s="84" t="str">
        <f ca="1">IF(ROWS($1:1)&gt;COUNT(Dong1),"",IF(OFFSET(TH!M$1,SMALL(Dong1,ROWS($1:1)),)="1111",OFFSET(TH!D$1,SMALL(Dong1,ROWS($1:1)),),""))</f>
        <v>C01</v>
      </c>
      <c r="E14" s="128" t="str">
        <f ca="1">IF(ROWS($1:1)&gt;COUNT(Dong1),"",OFFSET(TH!F$1,SMALL(Dong1,ROWS($1:1)),))</f>
        <v>Dầu DO</v>
      </c>
      <c r="F14" s="86" t="str">
        <f ca="1">IF(ROWS($1:1)&gt;COUNT(Dong1),"",IF(OFFSET(TH!M$1,SMALL(Dong1,ROWS($1:1)),)="1111",OFFSET(TH!L$1,SMALL(Dong1,ROWS($1:1)),),OFFSET(TH!M$1,SMALL(Dong1,ROWS($1:1)),)))</f>
        <v>641</v>
      </c>
      <c r="G14" s="87">
        <f ca="1">IF(ROWS($1:1)&gt;COUNT(Dong1),"",IF(OFFSET(TH!L$1,SMALL(Dong1,ROWS($1:1)),)="1111",OFFSET(TH!K$1,SMALL(Dong1,ROWS($1:1)),),0))</f>
        <v>0</v>
      </c>
      <c r="H14" s="85">
        <f ca="1">IF(ROWS($1:1)&gt;COUNT(Dong1),"",IF(OFFSET(TH!M$1,SMALL(Dong1,ROWS($1:1)),)="1111",OFFSET(TH!K$1,SMALL(Dong1,ROWS($1:1)),),0))</f>
        <v>1000000</v>
      </c>
      <c r="I14" s="83">
        <f ca="1">IF(E14&lt;&gt;"",I13+G14-H14,0)</f>
        <v>1560850415</v>
      </c>
      <c r="J14" s="88"/>
      <c r="N14" s="411"/>
      <c r="O14" s="411"/>
    </row>
    <row r="15" spans="1:15" ht="21.75" customHeight="1">
      <c r="A15" s="82">
        <f ca="1">IF(ROWS($1:2)&gt;COUNT(Dong1),"",OFFSET(TH!C$1,SMALL(Dong1,ROWS($1:2)),))</f>
        <v>42644</v>
      </c>
      <c r="B15" s="82">
        <f ca="1">IF(ROWS($1:2)&gt;COUNT(Dong1),"",OFFSET(TH!E$1,SMALL(Dong1,ROWS($1:2)),))</f>
        <v>42643</v>
      </c>
      <c r="C15" s="83" t="str">
        <f ca="1">IF(ROWS($1:2)&gt;COUNT(Dong1),"",IF(OFFSET(TH!L$1,SMALL(Dong1,ROWS($1:2)),)="1111",OFFSET(TH!D$1,SMALL(Dong1,ROWS($1:2)),),""))</f>
        <v/>
      </c>
      <c r="D15" s="84" t="str">
        <f ca="1">IF(ROWS($1:2)&gt;COUNT(Dong1),"",IF(OFFSET(TH!M$1,SMALL(Dong1,ROWS($1:2)),)="1111",OFFSET(TH!D$1,SMALL(Dong1,ROWS($1:2)),),""))</f>
        <v>C01</v>
      </c>
      <c r="E15" s="128" t="str">
        <f ca="1">IF(ROWS($1:2)&gt;COUNT(Dong1),"",OFFSET(TH!F$1,SMALL(Dong1,ROWS($1:2)),))</f>
        <v>VAT Dầu DO</v>
      </c>
      <c r="F15" s="86" t="str">
        <f ca="1">IF(ROWS($1:2)&gt;COUNT(Dong1),"",IF(OFFSET(TH!M$1,SMALL(Dong1,ROWS($1:2)),)="1111",OFFSET(TH!L$1,SMALL(Dong1,ROWS($1:2)),),OFFSET(TH!M$1,SMALL(Dong1,ROWS($1:2)),)))</f>
        <v>1331</v>
      </c>
      <c r="G15" s="87">
        <f ca="1">IF(ROWS($1:2)&gt;COUNT(Dong1),"",IF(OFFSET(TH!L$1,SMALL(Dong1,ROWS($1:2)),)="1111",OFFSET(TH!K$1,SMALL(Dong1,ROWS($1:2)),),0))</f>
        <v>0</v>
      </c>
      <c r="H15" s="85">
        <f ca="1">IF(ROWS($1:2)&gt;COUNT(Dong1),"",IF(OFFSET(TH!M$1,SMALL(Dong1,ROWS($1:2)),)="1111",OFFSET(TH!K$1,SMALL(Dong1,ROWS($1:2)),),0))</f>
        <v>100000</v>
      </c>
      <c r="I15" s="83">
        <f t="shared" ref="I15:I56" ca="1" si="0">IF(E15&lt;&gt;"",I14+G15-H15,0)</f>
        <v>1560750415</v>
      </c>
      <c r="J15" s="88"/>
      <c r="N15" s="411"/>
      <c r="O15" s="411"/>
    </row>
    <row r="16" spans="1:15" ht="21.75" customHeight="1">
      <c r="A16" s="82">
        <f ca="1">IF(ROWS($1:3)&gt;COUNT(Dong1),"",OFFSET(TH!C$1,SMALL(Dong1,ROWS($1:3)),))</f>
        <v>42644</v>
      </c>
      <c r="B16" s="82">
        <f ca="1">IF(ROWS($1:3)&gt;COUNT(Dong1),"",OFFSET(TH!E$1,SMALL(Dong1,ROWS($1:3)),))</f>
        <v>42644</v>
      </c>
      <c r="C16" s="83" t="str">
        <f ca="1">IF(ROWS($1:3)&gt;COUNT(Dong1),"",IF(OFFSET(TH!L$1,SMALL(Dong1,ROWS($1:3)),)="1111",OFFSET(TH!D$1,SMALL(Dong1,ROWS($1:3)),),""))</f>
        <v/>
      </c>
      <c r="D16" s="84" t="str">
        <f ca="1">IF(ROWS($1:3)&gt;COUNT(Dong1),"",IF(OFFSET(TH!M$1,SMALL(Dong1,ROWS($1:3)),)="1111",OFFSET(TH!D$1,SMALL(Dong1,ROWS($1:3)),),""))</f>
        <v>C02</v>
      </c>
      <c r="E16" s="128" t="str">
        <f ca="1">IF(ROWS($1:3)&gt;COUNT(Dong1),"",OFFSET(TH!F$1,SMALL(Dong1,ROWS($1:3)),))</f>
        <v>Vật dụng sửa xe</v>
      </c>
      <c r="F16" s="86" t="str">
        <f ca="1">IF(ROWS($1:3)&gt;COUNT(Dong1),"",IF(OFFSET(TH!M$1,SMALL(Dong1,ROWS($1:3)),)="1111",OFFSET(TH!L$1,SMALL(Dong1,ROWS($1:3)),),OFFSET(TH!M$1,SMALL(Dong1,ROWS($1:3)),)))</f>
        <v>642</v>
      </c>
      <c r="G16" s="87">
        <f ca="1">IF(ROWS($1:3)&gt;COUNT(Dong1),"",IF(OFFSET(TH!L$1,SMALL(Dong1,ROWS($1:3)),)="1111",OFFSET(TH!K$1,SMALL(Dong1,ROWS($1:3)),),0))</f>
        <v>0</v>
      </c>
      <c r="H16" s="85">
        <f ca="1">IF(ROWS($1:3)&gt;COUNT(Dong1),"",IF(OFFSET(TH!M$1,SMALL(Dong1,ROWS($1:3)),)="1111",OFFSET(TH!K$1,SMALL(Dong1,ROWS($1:3)),),0))</f>
        <v>3910000</v>
      </c>
      <c r="I16" s="83">
        <f t="shared" ca="1" si="0"/>
        <v>1556840415</v>
      </c>
      <c r="J16" s="88"/>
      <c r="N16" s="411"/>
      <c r="O16" s="411"/>
    </row>
    <row r="17" spans="1:15" ht="21.75" customHeight="1">
      <c r="A17" s="82">
        <f ca="1">IF(ROWS($1:4)&gt;COUNT(Dong1),"",OFFSET(TH!C$1,SMALL(Dong1,ROWS($1:4)),))</f>
        <v>42644</v>
      </c>
      <c r="B17" s="82">
        <f ca="1">IF(ROWS($1:4)&gt;COUNT(Dong1),"",OFFSET(TH!E$1,SMALL(Dong1,ROWS($1:4)),))</f>
        <v>42644</v>
      </c>
      <c r="C17" s="83" t="str">
        <f ca="1">IF(ROWS($1:4)&gt;COUNT(Dong1),"",IF(OFFSET(TH!L$1,SMALL(Dong1,ROWS($1:4)),)="1111",OFFSET(TH!D$1,SMALL(Dong1,ROWS($1:4)),),""))</f>
        <v/>
      </c>
      <c r="D17" s="84" t="str">
        <f ca="1">IF(ROWS($1:4)&gt;COUNT(Dong1),"",IF(OFFSET(TH!M$1,SMALL(Dong1,ROWS($1:4)),)="1111",OFFSET(TH!D$1,SMALL(Dong1,ROWS($1:4)),),""))</f>
        <v>C02</v>
      </c>
      <c r="E17" s="128" t="str">
        <f ca="1">IF(ROWS($1:4)&gt;COUNT(Dong1),"",OFFSET(TH!F$1,SMALL(Dong1,ROWS($1:4)),))</f>
        <v>VAT Vật dụng sửa xe</v>
      </c>
      <c r="F17" s="86" t="str">
        <f ca="1">IF(ROWS($1:4)&gt;COUNT(Dong1),"",IF(OFFSET(TH!M$1,SMALL(Dong1,ROWS($1:4)),)="1111",OFFSET(TH!L$1,SMALL(Dong1,ROWS($1:4)),),OFFSET(TH!M$1,SMALL(Dong1,ROWS($1:4)),)))</f>
        <v>1331</v>
      </c>
      <c r="G17" s="87">
        <f ca="1">IF(ROWS($1:4)&gt;COUNT(Dong1),"",IF(OFFSET(TH!L$1,SMALL(Dong1,ROWS($1:4)),)="1111",OFFSET(TH!K$1,SMALL(Dong1,ROWS($1:4)),),0))</f>
        <v>0</v>
      </c>
      <c r="H17" s="85">
        <f ca="1">IF(ROWS($1:4)&gt;COUNT(Dong1),"",IF(OFFSET(TH!M$1,SMALL(Dong1,ROWS($1:4)),)="1111",OFFSET(TH!K$1,SMALL(Dong1,ROWS($1:4)),),0))</f>
        <v>391000</v>
      </c>
      <c r="I17" s="83">
        <f t="shared" ca="1" si="0"/>
        <v>1556449415</v>
      </c>
      <c r="J17" s="88"/>
      <c r="N17" s="411"/>
      <c r="O17" s="411"/>
    </row>
    <row r="18" spans="1:15" ht="21.75" customHeight="1">
      <c r="A18" s="82">
        <f ca="1">IF(ROWS($1:5)&gt;COUNT(Dong1),"",OFFSET(TH!C$1,SMALL(Dong1,ROWS($1:5)),))</f>
        <v>42646</v>
      </c>
      <c r="B18" s="82">
        <f ca="1">IF(ROWS($1:5)&gt;COUNT(Dong1),"",OFFSET(TH!E$1,SMALL(Dong1,ROWS($1:5)),))</f>
        <v>42646</v>
      </c>
      <c r="C18" s="83" t="str">
        <f ca="1">IF(ROWS($1:5)&gt;COUNT(Dong1),"",IF(OFFSET(TH!L$1,SMALL(Dong1,ROWS($1:5)),)="1111",OFFSET(TH!D$1,SMALL(Dong1,ROWS($1:5)),),""))</f>
        <v>T01</v>
      </c>
      <c r="D18" s="84" t="str">
        <f ca="1">IF(ROWS($1:5)&gt;COUNT(Dong1),"",IF(OFFSET(TH!M$1,SMALL(Dong1,ROWS($1:5)),)="1111",OFFSET(TH!D$1,SMALL(Dong1,ROWS($1:5)),),""))</f>
        <v/>
      </c>
      <c r="E18" s="128" t="str">
        <f ca="1">IF(ROWS($1:5)&gt;COUNT(Dong1),"",OFFSET(TH!F$1,SMALL(Dong1,ROWS($1:5)),))</f>
        <v>Rút tiền mặt</v>
      </c>
      <c r="F18" s="86" t="str">
        <f ca="1">IF(ROWS($1:5)&gt;COUNT(Dong1),"",IF(OFFSET(TH!M$1,SMALL(Dong1,ROWS($1:5)),)="1111",OFFSET(TH!L$1,SMALL(Dong1,ROWS($1:5)),),OFFSET(TH!M$1,SMALL(Dong1,ROWS($1:5)),)))</f>
        <v>1121</v>
      </c>
      <c r="G18" s="87">
        <f ca="1">IF(ROWS($1:5)&gt;COUNT(Dong1),"",IF(OFFSET(TH!L$1,SMALL(Dong1,ROWS($1:5)),)="1111",OFFSET(TH!K$1,SMALL(Dong1,ROWS($1:5)),),0))</f>
        <v>19000000</v>
      </c>
      <c r="H18" s="85">
        <f ca="1">IF(ROWS($1:5)&gt;COUNT(Dong1),"",IF(OFFSET(TH!M$1,SMALL(Dong1,ROWS($1:5)),)="1111",OFFSET(TH!K$1,SMALL(Dong1,ROWS($1:5)),),0))</f>
        <v>0</v>
      </c>
      <c r="I18" s="83">
        <f t="shared" ca="1" si="0"/>
        <v>1575449415</v>
      </c>
      <c r="J18" s="88"/>
      <c r="N18" s="411"/>
      <c r="O18" s="411"/>
    </row>
    <row r="19" spans="1:15" ht="21.75" customHeight="1">
      <c r="A19" s="82">
        <f ca="1">IF(ROWS($1:6)&gt;COUNT(Dong1),"",OFFSET(TH!C$1,SMALL(Dong1,ROWS($1:6)),))</f>
        <v>42646</v>
      </c>
      <c r="B19" s="82">
        <f ca="1">IF(ROWS($1:6)&gt;COUNT(Dong1),"",OFFSET(TH!E$1,SMALL(Dong1,ROWS($1:6)),))</f>
        <v>42646</v>
      </c>
      <c r="C19" s="83" t="str">
        <f ca="1">IF(ROWS($1:6)&gt;COUNT(Dong1),"",IF(OFFSET(TH!L$1,SMALL(Dong1,ROWS($1:6)),)="1111",OFFSET(TH!D$1,SMALL(Dong1,ROWS($1:6)),),""))</f>
        <v/>
      </c>
      <c r="D19" s="84" t="str">
        <f ca="1">IF(ROWS($1:6)&gt;COUNT(Dong1),"",IF(OFFSET(TH!M$1,SMALL(Dong1,ROWS($1:6)),)="1111",OFFSET(TH!D$1,SMALL(Dong1,ROWS($1:6)),),""))</f>
        <v>C03</v>
      </c>
      <c r="E19" s="128" t="str">
        <f ca="1">IF(ROWS($1:6)&gt;COUNT(Dong1),"",OFFSET(TH!F$1,SMALL(Dong1,ROWS($1:6)),))</f>
        <v>Dầu DO</v>
      </c>
      <c r="F19" s="86" t="str">
        <f ca="1">IF(ROWS($1:6)&gt;COUNT(Dong1),"",IF(OFFSET(TH!M$1,SMALL(Dong1,ROWS($1:6)),)="1111",OFFSET(TH!L$1,SMALL(Dong1,ROWS($1:6)),),OFFSET(TH!M$1,SMALL(Dong1,ROWS($1:6)),)))</f>
        <v>641</v>
      </c>
      <c r="G19" s="87">
        <f ca="1">IF(ROWS($1:6)&gt;COUNT(Dong1),"",IF(OFFSET(TH!L$1,SMALL(Dong1,ROWS($1:6)),)="1111",OFFSET(TH!K$1,SMALL(Dong1,ROWS($1:6)),),0))</f>
        <v>0</v>
      </c>
      <c r="H19" s="85">
        <f ca="1">IF(ROWS($1:6)&gt;COUNT(Dong1),"",IF(OFFSET(TH!M$1,SMALL(Dong1,ROWS($1:6)),)="1111",OFFSET(TH!K$1,SMALL(Dong1,ROWS($1:6)),),0))</f>
        <v>5100454</v>
      </c>
      <c r="I19" s="83">
        <f t="shared" ca="1" si="0"/>
        <v>1570348961</v>
      </c>
      <c r="J19" s="88"/>
      <c r="N19" s="411"/>
      <c r="O19" s="411"/>
    </row>
    <row r="20" spans="1:15" ht="21.75" customHeight="1">
      <c r="A20" s="82">
        <f ca="1">IF(ROWS($1:7)&gt;COUNT(Dong1),"",OFFSET(TH!C$1,SMALL(Dong1,ROWS($1:7)),))</f>
        <v>42646</v>
      </c>
      <c r="B20" s="82">
        <f ca="1">IF(ROWS($1:7)&gt;COUNT(Dong1),"",OFFSET(TH!E$1,SMALL(Dong1,ROWS($1:7)),))</f>
        <v>42646</v>
      </c>
      <c r="C20" s="83" t="str">
        <f ca="1">IF(ROWS($1:7)&gt;COUNT(Dong1),"",IF(OFFSET(TH!L$1,SMALL(Dong1,ROWS($1:7)),)="1111",OFFSET(TH!D$1,SMALL(Dong1,ROWS($1:7)),),""))</f>
        <v/>
      </c>
      <c r="D20" s="84" t="str">
        <f ca="1">IF(ROWS($1:7)&gt;COUNT(Dong1),"",IF(OFFSET(TH!M$1,SMALL(Dong1,ROWS($1:7)),)="1111",OFFSET(TH!D$1,SMALL(Dong1,ROWS($1:7)),),""))</f>
        <v>C03</v>
      </c>
      <c r="E20" s="128" t="str">
        <f ca="1">IF(ROWS($1:7)&gt;COUNT(Dong1),"",OFFSET(TH!F$1,SMALL(Dong1,ROWS($1:7)),))</f>
        <v>VAT Dầu DO</v>
      </c>
      <c r="F20" s="86" t="str">
        <f ca="1">IF(ROWS($1:7)&gt;COUNT(Dong1),"",IF(OFFSET(TH!M$1,SMALL(Dong1,ROWS($1:7)),)="1111",OFFSET(TH!L$1,SMALL(Dong1,ROWS($1:7)),),OFFSET(TH!M$1,SMALL(Dong1,ROWS($1:7)),)))</f>
        <v>1331</v>
      </c>
      <c r="G20" s="87">
        <f ca="1">IF(ROWS($1:7)&gt;COUNT(Dong1),"",IF(OFFSET(TH!L$1,SMALL(Dong1,ROWS($1:7)),)="1111",OFFSET(TH!K$1,SMALL(Dong1,ROWS($1:7)),),0))</f>
        <v>0</v>
      </c>
      <c r="H20" s="85">
        <f ca="1">IF(ROWS($1:7)&gt;COUNT(Dong1),"",IF(OFFSET(TH!M$1,SMALL(Dong1,ROWS($1:7)),)="1111",OFFSET(TH!K$1,SMALL(Dong1,ROWS($1:7)),),0))</f>
        <v>510046</v>
      </c>
      <c r="I20" s="83">
        <f t="shared" ca="1" si="0"/>
        <v>1569838915</v>
      </c>
      <c r="J20" s="88"/>
      <c r="N20" s="411"/>
      <c r="O20" s="411"/>
    </row>
    <row r="21" spans="1:15" ht="21.75" customHeight="1">
      <c r="A21" s="82">
        <f ca="1">IF(ROWS($1:8)&gt;COUNT(Dong1),"",OFFSET(TH!C$1,SMALL(Dong1,ROWS($1:8)),))</f>
        <v>42647</v>
      </c>
      <c r="B21" s="82">
        <f ca="1">IF(ROWS($1:8)&gt;COUNT(Dong1),"",OFFSET(TH!E$1,SMALL(Dong1,ROWS($1:8)),))</f>
        <v>42647</v>
      </c>
      <c r="C21" s="83" t="str">
        <f ca="1">IF(ROWS($1:8)&gt;COUNT(Dong1),"",IF(OFFSET(TH!L$1,SMALL(Dong1,ROWS($1:8)),)="1111",OFFSET(TH!D$1,SMALL(Dong1,ROWS($1:8)),),""))</f>
        <v/>
      </c>
      <c r="D21" s="84" t="str">
        <f ca="1">IF(ROWS($1:8)&gt;COUNT(Dong1),"",IF(OFFSET(TH!M$1,SMALL(Dong1,ROWS($1:8)),)="1111",OFFSET(TH!D$1,SMALL(Dong1,ROWS($1:8)),),""))</f>
        <v>C04</v>
      </c>
      <c r="E21" s="128" t="str">
        <f ca="1">IF(ROWS($1:8)&gt;COUNT(Dong1),"",OFFSET(TH!F$1,SMALL(Dong1,ROWS($1:8)),))</f>
        <v>Nộp tiền mặt</v>
      </c>
      <c r="F21" s="86" t="str">
        <f ca="1">IF(ROWS($1:8)&gt;COUNT(Dong1),"",IF(OFFSET(TH!M$1,SMALL(Dong1,ROWS($1:8)),)="1111",OFFSET(TH!L$1,SMALL(Dong1,ROWS($1:8)),),OFFSET(TH!M$1,SMALL(Dong1,ROWS($1:8)),)))</f>
        <v>1121</v>
      </c>
      <c r="G21" s="87">
        <f ca="1">IF(ROWS($1:8)&gt;COUNT(Dong1),"",IF(OFFSET(TH!L$1,SMALL(Dong1,ROWS($1:8)),)="1111",OFFSET(TH!K$1,SMALL(Dong1,ROWS($1:8)),),0))</f>
        <v>0</v>
      </c>
      <c r="H21" s="85">
        <f ca="1">IF(ROWS($1:8)&gt;COUNT(Dong1),"",IF(OFFSET(TH!M$1,SMALL(Dong1,ROWS($1:8)),)="1111",OFFSET(TH!K$1,SMALL(Dong1,ROWS($1:8)),),0))</f>
        <v>50000000</v>
      </c>
      <c r="I21" s="83">
        <f t="shared" ca="1" si="0"/>
        <v>1519838915</v>
      </c>
      <c r="J21" s="88"/>
      <c r="N21" s="411"/>
      <c r="O21" s="411"/>
    </row>
    <row r="22" spans="1:15" ht="21.75" customHeight="1">
      <c r="A22" s="82">
        <f ca="1">IF(ROWS($1:9)&gt;COUNT(Dong1),"",OFFSET(TH!C$1,SMALL(Dong1,ROWS($1:9)),))</f>
        <v>42647</v>
      </c>
      <c r="B22" s="82">
        <f ca="1">IF(ROWS($1:9)&gt;COUNT(Dong1),"",OFFSET(TH!E$1,SMALL(Dong1,ROWS($1:9)),))</f>
        <v>42647</v>
      </c>
      <c r="C22" s="83" t="str">
        <f ca="1">IF(ROWS($1:9)&gt;COUNT(Dong1),"",IF(OFFSET(TH!L$1,SMALL(Dong1,ROWS($1:9)),)="1111",OFFSET(TH!D$1,SMALL(Dong1,ROWS($1:9)),),""))</f>
        <v>T02</v>
      </c>
      <c r="D22" s="84" t="str">
        <f ca="1">IF(ROWS($1:9)&gt;COUNT(Dong1),"",IF(OFFSET(TH!M$1,SMALL(Dong1,ROWS($1:9)),)="1111",OFFSET(TH!D$1,SMALL(Dong1,ROWS($1:9)),),""))</f>
        <v/>
      </c>
      <c r="E22" s="128" t="str">
        <f ca="1">IF(ROWS($1:9)&gt;COUNT(Dong1),"",OFFSET(TH!F$1,SMALL(Dong1,ROWS($1:9)),))</f>
        <v>Thu tiền hàng</v>
      </c>
      <c r="F22" s="86" t="str">
        <f ca="1">IF(ROWS($1:9)&gt;COUNT(Dong1),"",IF(OFFSET(TH!M$1,SMALL(Dong1,ROWS($1:9)),)="1111",OFFSET(TH!L$1,SMALL(Dong1,ROWS($1:9)),),OFFSET(TH!M$1,SMALL(Dong1,ROWS($1:9)),)))</f>
        <v>131</v>
      </c>
      <c r="G22" s="87">
        <f ca="1">IF(ROWS($1:9)&gt;COUNT(Dong1),"",IF(OFFSET(TH!L$1,SMALL(Dong1,ROWS($1:9)),)="1111",OFFSET(TH!K$1,SMALL(Dong1,ROWS($1:9)),),0))</f>
        <v>9990678</v>
      </c>
      <c r="H22" s="85">
        <f ca="1">IF(ROWS($1:9)&gt;COUNT(Dong1),"",IF(OFFSET(TH!M$1,SMALL(Dong1,ROWS($1:9)),)="1111",OFFSET(TH!K$1,SMALL(Dong1,ROWS($1:9)),),0))</f>
        <v>0</v>
      </c>
      <c r="I22" s="83">
        <f t="shared" ca="1" si="0"/>
        <v>1529829593</v>
      </c>
      <c r="J22" s="88"/>
      <c r="N22" s="411"/>
      <c r="O22" s="411"/>
    </row>
    <row r="23" spans="1:15" ht="21.75" customHeight="1">
      <c r="A23" s="82">
        <f ca="1">IF(ROWS($1:10)&gt;COUNT(Dong1),"",OFFSET(TH!C$1,SMALL(Dong1,ROWS($1:10)),))</f>
        <v>42648</v>
      </c>
      <c r="B23" s="82">
        <f ca="1">IF(ROWS($1:10)&gt;COUNT(Dong1),"",OFFSET(TH!E$1,SMALL(Dong1,ROWS($1:10)),))</f>
        <v>42648</v>
      </c>
      <c r="C23" s="83" t="str">
        <f ca="1">IF(ROWS($1:10)&gt;COUNT(Dong1),"",IF(OFFSET(TH!L$1,SMALL(Dong1,ROWS($1:10)),)="1111",OFFSET(TH!D$1,SMALL(Dong1,ROWS($1:10)),),""))</f>
        <v>T03</v>
      </c>
      <c r="D23" s="84" t="str">
        <f ca="1">IF(ROWS($1:10)&gt;COUNT(Dong1),"",IF(OFFSET(TH!M$1,SMALL(Dong1,ROWS($1:10)),)="1111",OFFSET(TH!D$1,SMALL(Dong1,ROWS($1:10)),),""))</f>
        <v/>
      </c>
      <c r="E23" s="128" t="str">
        <f ca="1">IF(ROWS($1:10)&gt;COUNT(Dong1),"",OFFSET(TH!F$1,SMALL(Dong1,ROWS($1:10)),))</f>
        <v>Thu tiền hàng</v>
      </c>
      <c r="F23" s="86" t="str">
        <f ca="1">IF(ROWS($1:10)&gt;COUNT(Dong1),"",IF(OFFSET(TH!M$1,SMALL(Dong1,ROWS($1:10)),)="1111",OFFSET(TH!L$1,SMALL(Dong1,ROWS($1:10)),),OFFSET(TH!M$1,SMALL(Dong1,ROWS($1:10)),)))</f>
        <v>131</v>
      </c>
      <c r="G23" s="87">
        <f ca="1">IF(ROWS($1:10)&gt;COUNT(Dong1),"",IF(OFFSET(TH!L$1,SMALL(Dong1,ROWS($1:10)),)="1111",OFFSET(TH!K$1,SMALL(Dong1,ROWS($1:10)),),0))</f>
        <v>13909115</v>
      </c>
      <c r="H23" s="85">
        <f ca="1">IF(ROWS($1:10)&gt;COUNT(Dong1),"",IF(OFFSET(TH!M$1,SMALL(Dong1,ROWS($1:10)),)="1111",OFFSET(TH!K$1,SMALL(Dong1,ROWS($1:10)),),0))</f>
        <v>0</v>
      </c>
      <c r="I23" s="83">
        <f t="shared" ca="1" si="0"/>
        <v>1543738708</v>
      </c>
      <c r="J23" s="88"/>
      <c r="N23" s="411"/>
      <c r="O23" s="411"/>
    </row>
    <row r="24" spans="1:15" ht="21.75" customHeight="1">
      <c r="A24" s="82">
        <f ca="1">IF(ROWS($1:11)&gt;COUNT(Dong1),"",OFFSET(TH!C$1,SMALL(Dong1,ROWS($1:11)),))</f>
        <v>42652</v>
      </c>
      <c r="B24" s="82">
        <f ca="1">IF(ROWS($1:11)&gt;COUNT(Dong1),"",OFFSET(TH!E$1,SMALL(Dong1,ROWS($1:11)),))</f>
        <v>42652</v>
      </c>
      <c r="C24" s="83" t="str">
        <f ca="1">IF(ROWS($1:11)&gt;COUNT(Dong1),"",IF(OFFSET(TH!L$1,SMALL(Dong1,ROWS($1:11)),)="1111",OFFSET(TH!D$1,SMALL(Dong1,ROWS($1:11)),),""))</f>
        <v/>
      </c>
      <c r="D24" s="84" t="str">
        <f ca="1">IF(ROWS($1:11)&gt;COUNT(Dong1),"",IF(OFFSET(TH!M$1,SMALL(Dong1,ROWS($1:11)),)="1111",OFFSET(TH!D$1,SMALL(Dong1,ROWS($1:11)),),""))</f>
        <v>C05</v>
      </c>
      <c r="E24" s="128" t="str">
        <f ca="1">IF(ROWS($1:11)&gt;COUNT(Dong1),"",OFFSET(TH!F$1,SMALL(Dong1,ROWS($1:11)),))</f>
        <v>Thanh toán tiền hàng</v>
      </c>
      <c r="F24" s="86" t="str">
        <f ca="1">IF(ROWS($1:11)&gt;COUNT(Dong1),"",IF(OFFSET(TH!M$1,SMALL(Dong1,ROWS($1:11)),)="1111",OFFSET(TH!L$1,SMALL(Dong1,ROWS($1:11)),),OFFSET(TH!M$1,SMALL(Dong1,ROWS($1:11)),)))</f>
        <v>331</v>
      </c>
      <c r="G24" s="87">
        <f ca="1">IF(ROWS($1:11)&gt;COUNT(Dong1),"",IF(OFFSET(TH!L$1,SMALL(Dong1,ROWS($1:11)),)="1111",OFFSET(TH!K$1,SMALL(Dong1,ROWS($1:11)),),0))</f>
        <v>0</v>
      </c>
      <c r="H24" s="85">
        <f ca="1">IF(ROWS($1:11)&gt;COUNT(Dong1),"",IF(OFFSET(TH!M$1,SMALL(Dong1,ROWS($1:11)),)="1111",OFFSET(TH!K$1,SMALL(Dong1,ROWS($1:11)),),0))</f>
        <v>11129250</v>
      </c>
      <c r="I24" s="83">
        <f t="shared" ca="1" si="0"/>
        <v>1532609458</v>
      </c>
      <c r="J24" s="88"/>
      <c r="N24" s="411"/>
      <c r="O24" s="411"/>
    </row>
    <row r="25" spans="1:15" ht="21.75" customHeight="1">
      <c r="A25" s="82">
        <f ca="1">IF(ROWS($1:12)&gt;COUNT(Dong1),"",OFFSET(TH!C$1,SMALL(Dong1,ROWS($1:12)),))</f>
        <v>42657</v>
      </c>
      <c r="B25" s="82">
        <f ca="1">IF(ROWS($1:12)&gt;COUNT(Dong1),"",OFFSET(TH!E$1,SMALL(Dong1,ROWS($1:12)),))</f>
        <v>42657</v>
      </c>
      <c r="C25" s="83" t="str">
        <f ca="1">IF(ROWS($1:12)&gt;COUNT(Dong1),"",IF(OFFSET(TH!L$1,SMALL(Dong1,ROWS($1:12)),)="1111",OFFSET(TH!D$1,SMALL(Dong1,ROWS($1:12)),),""))</f>
        <v/>
      </c>
      <c r="D25" s="84" t="str">
        <f ca="1">IF(ROWS($1:12)&gt;COUNT(Dong1),"",IF(OFFSET(TH!M$1,SMALL(Dong1,ROWS($1:12)),)="1111",OFFSET(TH!D$1,SMALL(Dong1,ROWS($1:12)),),""))</f>
        <v>C06</v>
      </c>
      <c r="E25" s="128" t="str">
        <f ca="1">IF(ROWS($1:12)&gt;COUNT(Dong1),"",OFFSET(TH!F$1,SMALL(Dong1,ROWS($1:12)),))</f>
        <v>Thanh toán tiền hàng</v>
      </c>
      <c r="F25" s="86" t="str">
        <f ca="1">IF(ROWS($1:12)&gt;COUNT(Dong1),"",IF(OFFSET(TH!M$1,SMALL(Dong1,ROWS($1:12)),)="1111",OFFSET(TH!L$1,SMALL(Dong1,ROWS($1:12)),),OFFSET(TH!M$1,SMALL(Dong1,ROWS($1:12)),)))</f>
        <v>331</v>
      </c>
      <c r="G25" s="87">
        <f ca="1">IF(ROWS($1:12)&gt;COUNT(Dong1),"",IF(OFFSET(TH!L$1,SMALL(Dong1,ROWS($1:12)),)="1111",OFFSET(TH!K$1,SMALL(Dong1,ROWS($1:12)),),0))</f>
        <v>0</v>
      </c>
      <c r="H25" s="85">
        <f ca="1">IF(ROWS($1:12)&gt;COUNT(Dong1),"",IF(OFFSET(TH!M$1,SMALL(Dong1,ROWS($1:12)),)="1111",OFFSET(TH!K$1,SMALL(Dong1,ROWS($1:12)),),0))</f>
        <v>14088800</v>
      </c>
      <c r="I25" s="83">
        <f t="shared" ca="1" si="0"/>
        <v>1518520658</v>
      </c>
      <c r="J25" s="88"/>
      <c r="N25" s="411"/>
      <c r="O25" s="411"/>
    </row>
    <row r="26" spans="1:15" ht="21.75" customHeight="1">
      <c r="A26" s="82">
        <f ca="1">IF(ROWS($1:13)&gt;COUNT(Dong1),"",OFFSET(TH!C$1,SMALL(Dong1,ROWS($1:13)),))</f>
        <v>42661</v>
      </c>
      <c r="B26" s="82">
        <f ca="1">IF(ROWS($1:13)&gt;COUNT(Dong1),"",OFFSET(TH!E$1,SMALL(Dong1,ROWS($1:13)),))</f>
        <v>42661</v>
      </c>
      <c r="C26" s="83" t="str">
        <f ca="1">IF(ROWS($1:13)&gt;COUNT(Dong1),"",IF(OFFSET(TH!L$1,SMALL(Dong1,ROWS($1:13)),)="1111",OFFSET(TH!D$1,SMALL(Dong1,ROWS($1:13)),),""))</f>
        <v>T04</v>
      </c>
      <c r="D26" s="84" t="str">
        <f ca="1">IF(ROWS($1:13)&gt;COUNT(Dong1),"",IF(OFFSET(TH!M$1,SMALL(Dong1,ROWS($1:13)),)="1111",OFFSET(TH!D$1,SMALL(Dong1,ROWS($1:13)),),""))</f>
        <v/>
      </c>
      <c r="E26" s="128" t="str">
        <f ca="1">IF(ROWS($1:13)&gt;COUNT(Dong1),"",OFFSET(TH!F$1,SMALL(Dong1,ROWS($1:13)),))</f>
        <v>Rút tiền mặt</v>
      </c>
      <c r="F26" s="86" t="str">
        <f ca="1">IF(ROWS($1:13)&gt;COUNT(Dong1),"",IF(OFFSET(TH!M$1,SMALL(Dong1,ROWS($1:13)),)="1111",OFFSET(TH!L$1,SMALL(Dong1,ROWS($1:13)),),OFFSET(TH!M$1,SMALL(Dong1,ROWS($1:13)),)))</f>
        <v>1121</v>
      </c>
      <c r="G26" s="87">
        <f ca="1">IF(ROWS($1:13)&gt;COUNT(Dong1),"",IF(OFFSET(TH!L$1,SMALL(Dong1,ROWS($1:13)),)="1111",OFFSET(TH!K$1,SMALL(Dong1,ROWS($1:13)),),0))</f>
        <v>3000000</v>
      </c>
      <c r="H26" s="85">
        <f ca="1">IF(ROWS($1:13)&gt;COUNT(Dong1),"",IF(OFFSET(TH!M$1,SMALL(Dong1,ROWS($1:13)),)="1111",OFFSET(TH!K$1,SMALL(Dong1,ROWS($1:13)),),0))</f>
        <v>0</v>
      </c>
      <c r="I26" s="83">
        <f t="shared" ca="1" si="0"/>
        <v>1521520658</v>
      </c>
      <c r="J26" s="88"/>
      <c r="N26" s="411"/>
      <c r="O26" s="411"/>
    </row>
    <row r="27" spans="1:15" ht="21.75" customHeight="1">
      <c r="A27" s="82">
        <f ca="1">IF(ROWS($1:14)&gt;COUNT(Dong1),"",OFFSET(TH!C$1,SMALL(Dong1,ROWS($1:14)),))</f>
        <v>42662</v>
      </c>
      <c r="B27" s="82">
        <f ca="1">IF(ROWS($1:14)&gt;COUNT(Dong1),"",OFFSET(TH!E$1,SMALL(Dong1,ROWS($1:14)),))</f>
        <v>42662</v>
      </c>
      <c r="C27" s="83" t="str">
        <f ca="1">IF(ROWS($1:14)&gt;COUNT(Dong1),"",IF(OFFSET(TH!L$1,SMALL(Dong1,ROWS($1:14)),)="1111",OFFSET(TH!D$1,SMALL(Dong1,ROWS($1:14)),),""))</f>
        <v>T05</v>
      </c>
      <c r="D27" s="84" t="str">
        <f ca="1">IF(ROWS($1:14)&gt;COUNT(Dong1),"",IF(OFFSET(TH!M$1,SMALL(Dong1,ROWS($1:14)),)="1111",OFFSET(TH!D$1,SMALL(Dong1,ROWS($1:14)),),""))</f>
        <v/>
      </c>
      <c r="E27" s="128" t="str">
        <f ca="1">IF(ROWS($1:14)&gt;COUNT(Dong1),"",OFFSET(TH!F$1,SMALL(Dong1,ROWS($1:14)),))</f>
        <v>Thu tiền hàng</v>
      </c>
      <c r="F27" s="86" t="str">
        <f ca="1">IF(ROWS($1:14)&gt;COUNT(Dong1),"",IF(OFFSET(TH!M$1,SMALL(Dong1,ROWS($1:14)),)="1111",OFFSET(TH!L$1,SMALL(Dong1,ROWS($1:14)),),OFFSET(TH!M$1,SMALL(Dong1,ROWS($1:14)),)))</f>
        <v>131</v>
      </c>
      <c r="G27" s="87">
        <f ca="1">IF(ROWS($1:14)&gt;COUNT(Dong1),"",IF(OFFSET(TH!L$1,SMALL(Dong1,ROWS($1:14)),)="1111",OFFSET(TH!K$1,SMALL(Dong1,ROWS($1:14)),),0))</f>
        <v>12893892</v>
      </c>
      <c r="H27" s="85">
        <f ca="1">IF(ROWS($1:14)&gt;COUNT(Dong1),"",IF(OFFSET(TH!M$1,SMALL(Dong1,ROWS($1:14)),)="1111",OFFSET(TH!K$1,SMALL(Dong1,ROWS($1:14)),),0))</f>
        <v>0</v>
      </c>
      <c r="I27" s="83">
        <f t="shared" ca="1" si="0"/>
        <v>1534414550</v>
      </c>
      <c r="J27" s="88"/>
      <c r="N27" s="411"/>
      <c r="O27" s="411"/>
    </row>
    <row r="28" spans="1:15" ht="21.75" customHeight="1">
      <c r="A28" s="82">
        <f ca="1">IF(ROWS($1:15)&gt;COUNT(Dong1),"",OFFSET(TH!C$1,SMALL(Dong1,ROWS($1:15)),))</f>
        <v>42663</v>
      </c>
      <c r="B28" s="82">
        <f ca="1">IF(ROWS($1:15)&gt;COUNT(Dong1),"",OFFSET(TH!E$1,SMALL(Dong1,ROWS($1:15)),))</f>
        <v>42663</v>
      </c>
      <c r="C28" s="83" t="str">
        <f ca="1">IF(ROWS($1:15)&gt;COUNT(Dong1),"",IF(OFFSET(TH!L$1,SMALL(Dong1,ROWS($1:15)),)="1111",OFFSET(TH!D$1,SMALL(Dong1,ROWS($1:15)),),""))</f>
        <v>T06</v>
      </c>
      <c r="D28" s="84" t="str">
        <f ca="1">IF(ROWS($1:15)&gt;COUNT(Dong1),"",IF(OFFSET(TH!M$1,SMALL(Dong1,ROWS($1:15)),)="1111",OFFSET(TH!D$1,SMALL(Dong1,ROWS($1:15)),),""))</f>
        <v/>
      </c>
      <c r="E28" s="128" t="str">
        <f ca="1">IF(ROWS($1:15)&gt;COUNT(Dong1),"",OFFSET(TH!F$1,SMALL(Dong1,ROWS($1:15)),))</f>
        <v>Rút tiền mặt</v>
      </c>
      <c r="F28" s="86" t="str">
        <f ca="1">IF(ROWS($1:15)&gt;COUNT(Dong1),"",IF(OFFSET(TH!M$1,SMALL(Dong1,ROWS($1:15)),)="1111",OFFSET(TH!L$1,SMALL(Dong1,ROWS($1:15)),),OFFSET(TH!M$1,SMALL(Dong1,ROWS($1:15)),)))</f>
        <v>1121</v>
      </c>
      <c r="G28" s="87">
        <f ca="1">IF(ROWS($1:15)&gt;COUNT(Dong1),"",IF(OFFSET(TH!L$1,SMALL(Dong1,ROWS($1:15)),)="1111",OFFSET(TH!K$1,SMALL(Dong1,ROWS($1:15)),),0))</f>
        <v>104000000</v>
      </c>
      <c r="H28" s="85">
        <f ca="1">IF(ROWS($1:15)&gt;COUNT(Dong1),"",IF(OFFSET(TH!M$1,SMALL(Dong1,ROWS($1:15)),)="1111",OFFSET(TH!K$1,SMALL(Dong1,ROWS($1:15)),),0))</f>
        <v>0</v>
      </c>
      <c r="I28" s="83">
        <f t="shared" ca="1" si="0"/>
        <v>1638414550</v>
      </c>
      <c r="J28" s="88"/>
      <c r="N28" s="411"/>
      <c r="O28" s="411"/>
    </row>
    <row r="29" spans="1:15" ht="21.75" customHeight="1">
      <c r="A29" s="82">
        <f ca="1">IF(ROWS($1:16)&gt;COUNT(Dong1),"",OFFSET(TH!C$1,SMALL(Dong1,ROWS($1:16)),))</f>
        <v>42663</v>
      </c>
      <c r="B29" s="82">
        <f ca="1">IF(ROWS($1:16)&gt;COUNT(Dong1),"",OFFSET(TH!E$1,SMALL(Dong1,ROWS($1:16)),))</f>
        <v>42663</v>
      </c>
      <c r="C29" s="83" t="str">
        <f ca="1">IF(ROWS($1:16)&gt;COUNT(Dong1),"",IF(OFFSET(TH!L$1,SMALL(Dong1,ROWS($1:16)),)="1111",OFFSET(TH!D$1,SMALL(Dong1,ROWS($1:16)),),""))</f>
        <v/>
      </c>
      <c r="D29" s="84" t="str">
        <f ca="1">IF(ROWS($1:16)&gt;COUNT(Dong1),"",IF(OFFSET(TH!M$1,SMALL(Dong1,ROWS($1:16)),)="1111",OFFSET(TH!D$1,SMALL(Dong1,ROWS($1:16)),),""))</f>
        <v>C07</v>
      </c>
      <c r="E29" s="128" t="str">
        <f ca="1">IF(ROWS($1:16)&gt;COUNT(Dong1),"",OFFSET(TH!F$1,SMALL(Dong1,ROWS($1:16)),))</f>
        <v>Văn phòng phẩm</v>
      </c>
      <c r="F29" s="86" t="str">
        <f ca="1">IF(ROWS($1:16)&gt;COUNT(Dong1),"",IF(OFFSET(TH!M$1,SMALL(Dong1,ROWS($1:16)),)="1111",OFFSET(TH!L$1,SMALL(Dong1,ROWS($1:16)),),OFFSET(TH!M$1,SMALL(Dong1,ROWS($1:16)),)))</f>
        <v>642</v>
      </c>
      <c r="G29" s="87">
        <f ca="1">IF(ROWS($1:16)&gt;COUNT(Dong1),"",IF(OFFSET(TH!L$1,SMALL(Dong1,ROWS($1:16)),)="1111",OFFSET(TH!K$1,SMALL(Dong1,ROWS($1:16)),),0))</f>
        <v>0</v>
      </c>
      <c r="H29" s="85">
        <f ca="1">IF(ROWS($1:16)&gt;COUNT(Dong1),"",IF(OFFSET(TH!M$1,SMALL(Dong1,ROWS($1:16)),)="1111",OFFSET(TH!K$1,SMALL(Dong1,ROWS($1:16)),),0))</f>
        <v>934000</v>
      </c>
      <c r="I29" s="83">
        <f t="shared" ca="1" si="0"/>
        <v>1637480550</v>
      </c>
      <c r="J29" s="88"/>
      <c r="N29" s="411"/>
      <c r="O29" s="411"/>
    </row>
    <row r="30" spans="1:15" ht="21.75" customHeight="1">
      <c r="A30" s="82">
        <f ca="1">IF(ROWS($1:17)&gt;COUNT(Dong1),"",OFFSET(TH!C$1,SMALL(Dong1,ROWS($1:17)),))</f>
        <v>42663</v>
      </c>
      <c r="B30" s="82">
        <f ca="1">IF(ROWS($1:17)&gt;COUNT(Dong1),"",OFFSET(TH!E$1,SMALL(Dong1,ROWS($1:17)),))</f>
        <v>42663</v>
      </c>
      <c r="C30" s="83" t="str">
        <f ca="1">IF(ROWS($1:17)&gt;COUNT(Dong1),"",IF(OFFSET(TH!L$1,SMALL(Dong1,ROWS($1:17)),)="1111",OFFSET(TH!D$1,SMALL(Dong1,ROWS($1:17)),),""))</f>
        <v/>
      </c>
      <c r="D30" s="84" t="str">
        <f ca="1">IF(ROWS($1:17)&gt;COUNT(Dong1),"",IF(OFFSET(TH!M$1,SMALL(Dong1,ROWS($1:17)),)="1111",OFFSET(TH!D$1,SMALL(Dong1,ROWS($1:17)),),""))</f>
        <v>C07</v>
      </c>
      <c r="E30" s="128" t="str">
        <f ca="1">IF(ROWS($1:17)&gt;COUNT(Dong1),"",OFFSET(TH!F$1,SMALL(Dong1,ROWS($1:17)),))</f>
        <v>VAT Văn phòng phẩm</v>
      </c>
      <c r="F30" s="86" t="str">
        <f ca="1">IF(ROWS($1:17)&gt;COUNT(Dong1),"",IF(OFFSET(TH!M$1,SMALL(Dong1,ROWS($1:17)),)="1111",OFFSET(TH!L$1,SMALL(Dong1,ROWS($1:17)),),OFFSET(TH!M$1,SMALL(Dong1,ROWS($1:17)),)))</f>
        <v>1331</v>
      </c>
      <c r="G30" s="87">
        <f ca="1">IF(ROWS($1:17)&gt;COUNT(Dong1),"",IF(OFFSET(TH!L$1,SMALL(Dong1,ROWS($1:17)),)="1111",OFFSET(TH!K$1,SMALL(Dong1,ROWS($1:17)),),0))</f>
        <v>0</v>
      </c>
      <c r="H30" s="85">
        <f ca="1">IF(ROWS($1:17)&gt;COUNT(Dong1),"",IF(OFFSET(TH!M$1,SMALL(Dong1,ROWS($1:17)),)="1111",OFFSET(TH!K$1,SMALL(Dong1,ROWS($1:17)),),0))</f>
        <v>93400</v>
      </c>
      <c r="I30" s="83">
        <f t="shared" ca="1" si="0"/>
        <v>1637387150</v>
      </c>
      <c r="J30" s="88"/>
      <c r="N30" s="411"/>
      <c r="O30" s="411"/>
    </row>
    <row r="31" spans="1:15" ht="21.75" customHeight="1">
      <c r="A31" s="82">
        <f ca="1">IF(ROWS($1:18)&gt;COUNT(Dong1),"",OFFSET(TH!C$1,SMALL(Dong1,ROWS($1:18)),))</f>
        <v>42665</v>
      </c>
      <c r="B31" s="82">
        <f ca="1">IF(ROWS($1:18)&gt;COUNT(Dong1),"",OFFSET(TH!E$1,SMALL(Dong1,ROWS($1:18)),))</f>
        <v>42665</v>
      </c>
      <c r="C31" s="83" t="str">
        <f ca="1">IF(ROWS($1:18)&gt;COUNT(Dong1),"",IF(OFFSET(TH!L$1,SMALL(Dong1,ROWS($1:18)),)="1111",OFFSET(TH!D$1,SMALL(Dong1,ROWS($1:18)),),""))</f>
        <v/>
      </c>
      <c r="D31" s="84" t="str">
        <f ca="1">IF(ROWS($1:18)&gt;COUNT(Dong1),"",IF(OFFSET(TH!M$1,SMALL(Dong1,ROWS($1:18)),)="1111",OFFSET(TH!D$1,SMALL(Dong1,ROWS($1:18)),),""))</f>
        <v>C08</v>
      </c>
      <c r="E31" s="128" t="str">
        <f ca="1">IF(ROWS($1:18)&gt;COUNT(Dong1),"",OFFSET(TH!F$1,SMALL(Dong1,ROWS($1:18)),))</f>
        <v>Thanh toán tiền hàng</v>
      </c>
      <c r="F31" s="86" t="str">
        <f ca="1">IF(ROWS($1:18)&gt;COUNT(Dong1),"",IF(OFFSET(TH!M$1,SMALL(Dong1,ROWS($1:18)),)="1111",OFFSET(TH!L$1,SMALL(Dong1,ROWS($1:18)),),OFFSET(TH!M$1,SMALL(Dong1,ROWS($1:18)),)))</f>
        <v>331</v>
      </c>
      <c r="G31" s="87">
        <f ca="1">IF(ROWS($1:18)&gt;COUNT(Dong1),"",IF(OFFSET(TH!L$1,SMALL(Dong1,ROWS($1:18)),)="1111",OFFSET(TH!K$1,SMALL(Dong1,ROWS($1:18)),),0))</f>
        <v>0</v>
      </c>
      <c r="H31" s="85">
        <f ca="1">IF(ROWS($1:18)&gt;COUNT(Dong1),"",IF(OFFSET(TH!M$1,SMALL(Dong1,ROWS($1:18)),)="1111",OFFSET(TH!K$1,SMALL(Dong1,ROWS($1:18)),),0))</f>
        <v>11466400</v>
      </c>
      <c r="I31" s="83">
        <f t="shared" ca="1" si="0"/>
        <v>1625920750</v>
      </c>
      <c r="J31" s="88"/>
      <c r="N31" s="411"/>
      <c r="O31" s="411"/>
    </row>
    <row r="32" spans="1:15" ht="21.75" customHeight="1">
      <c r="A32" s="82">
        <f ca="1">IF(ROWS($1:19)&gt;COUNT(Dong1),"",OFFSET(TH!C$1,SMALL(Dong1,ROWS($1:19)),))</f>
        <v>42668</v>
      </c>
      <c r="B32" s="82">
        <f ca="1">IF(ROWS($1:19)&gt;COUNT(Dong1),"",OFFSET(TH!E$1,SMALL(Dong1,ROWS($1:19)),))</f>
        <v>42668</v>
      </c>
      <c r="C32" s="83" t="str">
        <f ca="1">IF(ROWS($1:19)&gt;COUNT(Dong1),"",IF(OFFSET(TH!L$1,SMALL(Dong1,ROWS($1:19)),)="1111",OFFSET(TH!D$1,SMALL(Dong1,ROWS($1:19)),),""))</f>
        <v>T07</v>
      </c>
      <c r="D32" s="84" t="str">
        <f ca="1">IF(ROWS($1:19)&gt;COUNT(Dong1),"",IF(OFFSET(TH!M$1,SMALL(Dong1,ROWS($1:19)),)="1111",OFFSET(TH!D$1,SMALL(Dong1,ROWS($1:19)),),""))</f>
        <v/>
      </c>
      <c r="E32" s="128" t="str">
        <f ca="1">IF(ROWS($1:19)&gt;COUNT(Dong1),"",OFFSET(TH!F$1,SMALL(Dong1,ROWS($1:19)),))</f>
        <v>Rút tiền mặt</v>
      </c>
      <c r="F32" s="86" t="str">
        <f ca="1">IF(ROWS($1:19)&gt;COUNT(Dong1),"",IF(OFFSET(TH!M$1,SMALL(Dong1,ROWS($1:19)),)="1111",OFFSET(TH!L$1,SMALL(Dong1,ROWS($1:19)),),OFFSET(TH!M$1,SMALL(Dong1,ROWS($1:19)),)))</f>
        <v>1121</v>
      </c>
      <c r="G32" s="87">
        <f ca="1">IF(ROWS($1:19)&gt;COUNT(Dong1),"",IF(OFFSET(TH!L$1,SMALL(Dong1,ROWS($1:19)),)="1111",OFFSET(TH!K$1,SMALL(Dong1,ROWS($1:19)),),0))</f>
        <v>3500000</v>
      </c>
      <c r="H32" s="85">
        <f ca="1">IF(ROWS($1:19)&gt;COUNT(Dong1),"",IF(OFFSET(TH!M$1,SMALL(Dong1,ROWS($1:19)),)="1111",OFFSET(TH!K$1,SMALL(Dong1,ROWS($1:19)),),0))</f>
        <v>0</v>
      </c>
      <c r="I32" s="83">
        <f t="shared" ca="1" si="0"/>
        <v>1629420750</v>
      </c>
      <c r="J32" s="88"/>
      <c r="N32" s="411"/>
      <c r="O32" s="411"/>
    </row>
    <row r="33" spans="1:15" ht="21.75" customHeight="1">
      <c r="A33" s="82">
        <f ca="1">IF(ROWS($1:20)&gt;COUNT(Dong1),"",OFFSET(TH!C$1,SMALL(Dong1,ROWS($1:20)),))</f>
        <v>42673</v>
      </c>
      <c r="B33" s="82">
        <f ca="1">IF(ROWS($1:20)&gt;COUNT(Dong1),"",OFFSET(TH!E$1,SMALL(Dong1,ROWS($1:20)),))</f>
        <v>42673</v>
      </c>
      <c r="C33" s="83" t="str">
        <f ca="1">IF(ROWS($1:20)&gt;COUNT(Dong1),"",IF(OFFSET(TH!L$1,SMALL(Dong1,ROWS($1:20)),)="1111",OFFSET(TH!D$1,SMALL(Dong1,ROWS($1:20)),),""))</f>
        <v/>
      </c>
      <c r="D33" s="84" t="str">
        <f ca="1">IF(ROWS($1:20)&gt;COUNT(Dong1),"",IF(OFFSET(TH!M$1,SMALL(Dong1,ROWS($1:20)),)="1111",OFFSET(TH!D$1,SMALL(Dong1,ROWS($1:20)),),""))</f>
        <v>C09</v>
      </c>
      <c r="E33" s="128" t="str">
        <f ca="1">IF(ROWS($1:20)&gt;COUNT(Dong1),"",OFFSET(TH!F$1,SMALL(Dong1,ROWS($1:20)),))</f>
        <v>Phí sử dụng đường bộ</v>
      </c>
      <c r="F33" s="86" t="str">
        <f ca="1">IF(ROWS($1:20)&gt;COUNT(Dong1),"",IF(OFFSET(TH!M$1,SMALL(Dong1,ROWS($1:20)),)="1111",OFFSET(TH!L$1,SMALL(Dong1,ROWS($1:20)),),OFFSET(TH!M$1,SMALL(Dong1,ROWS($1:20)),)))</f>
        <v>641</v>
      </c>
      <c r="G33" s="87">
        <f ca="1">IF(ROWS($1:20)&gt;COUNT(Dong1),"",IF(OFFSET(TH!L$1,SMALL(Dong1,ROWS($1:20)),)="1111",OFFSET(TH!K$1,SMALL(Dong1,ROWS($1:20)),),0))</f>
        <v>0</v>
      </c>
      <c r="H33" s="85">
        <f ca="1">IF(ROWS($1:20)&gt;COUNT(Dong1),"",IF(OFFSET(TH!M$1,SMALL(Dong1,ROWS($1:20)),)="1111",OFFSET(TH!K$1,SMALL(Dong1,ROWS($1:20)),),0))</f>
        <v>304545</v>
      </c>
      <c r="I33" s="83">
        <f t="shared" ca="1" si="0"/>
        <v>1629116205</v>
      </c>
      <c r="J33" s="88"/>
      <c r="N33" s="411"/>
      <c r="O33" s="411"/>
    </row>
    <row r="34" spans="1:15" ht="21.75" customHeight="1">
      <c r="A34" s="82">
        <f ca="1">IF(ROWS($1:21)&gt;COUNT(Dong1),"",OFFSET(TH!C$1,SMALL(Dong1,ROWS($1:21)),))</f>
        <v>42673</v>
      </c>
      <c r="B34" s="82">
        <f ca="1">IF(ROWS($1:21)&gt;COUNT(Dong1),"",OFFSET(TH!E$1,SMALL(Dong1,ROWS($1:21)),))</f>
        <v>42673</v>
      </c>
      <c r="C34" s="83" t="str">
        <f ca="1">IF(ROWS($1:21)&gt;COUNT(Dong1),"",IF(OFFSET(TH!L$1,SMALL(Dong1,ROWS($1:21)),)="1111",OFFSET(TH!D$1,SMALL(Dong1,ROWS($1:21)),),""))</f>
        <v/>
      </c>
      <c r="D34" s="84" t="str">
        <f ca="1">IF(ROWS($1:21)&gt;COUNT(Dong1),"",IF(OFFSET(TH!M$1,SMALL(Dong1,ROWS($1:21)),)="1111",OFFSET(TH!D$1,SMALL(Dong1,ROWS($1:21)),),""))</f>
        <v>C09</v>
      </c>
      <c r="E34" s="128" t="str">
        <f ca="1">IF(ROWS($1:21)&gt;COUNT(Dong1),"",OFFSET(TH!F$1,SMALL(Dong1,ROWS($1:21)),))</f>
        <v>VAT Phí sử dụng đường bộ</v>
      </c>
      <c r="F34" s="86" t="str">
        <f ca="1">IF(ROWS($1:21)&gt;COUNT(Dong1),"",IF(OFFSET(TH!M$1,SMALL(Dong1,ROWS($1:21)),)="1111",OFFSET(TH!L$1,SMALL(Dong1,ROWS($1:21)),),OFFSET(TH!M$1,SMALL(Dong1,ROWS($1:21)),)))</f>
        <v>1331</v>
      </c>
      <c r="G34" s="87">
        <f ca="1">IF(ROWS($1:21)&gt;COUNT(Dong1),"",IF(OFFSET(TH!L$1,SMALL(Dong1,ROWS($1:21)),)="1111",OFFSET(TH!K$1,SMALL(Dong1,ROWS($1:21)),),0))</f>
        <v>0</v>
      </c>
      <c r="H34" s="85">
        <f ca="1">IF(ROWS($1:21)&gt;COUNT(Dong1),"",IF(OFFSET(TH!M$1,SMALL(Dong1,ROWS($1:21)),)="1111",OFFSET(TH!K$1,SMALL(Dong1,ROWS($1:21)),),0))</f>
        <v>30455</v>
      </c>
      <c r="I34" s="83">
        <f t="shared" ca="1" si="0"/>
        <v>1629085750</v>
      </c>
      <c r="J34" s="88"/>
      <c r="N34" s="411"/>
      <c r="O34" s="411"/>
    </row>
    <row r="35" spans="1:15" ht="21.75" customHeight="1">
      <c r="A35" s="82">
        <f ca="1">IF(ROWS($1:22)&gt;COUNT(Dong1),"",OFFSET(TH!C$1,SMALL(Dong1,ROWS($1:22)),))</f>
        <v>42674</v>
      </c>
      <c r="B35" s="82">
        <f ca="1">IF(ROWS($1:22)&gt;COUNT(Dong1),"",OFFSET(TH!E$1,SMALL(Dong1,ROWS($1:22)),))</f>
        <v>42674</v>
      </c>
      <c r="C35" s="83" t="str">
        <f ca="1">IF(ROWS($1:22)&gt;COUNT(Dong1),"",IF(OFFSET(TH!L$1,SMALL(Dong1,ROWS($1:22)),)="1111",OFFSET(TH!D$1,SMALL(Dong1,ROWS($1:22)),),""))</f>
        <v/>
      </c>
      <c r="D35" s="84" t="str">
        <f ca="1">IF(ROWS($1:22)&gt;COUNT(Dong1),"",IF(OFFSET(TH!M$1,SMALL(Dong1,ROWS($1:22)),)="1111",OFFSET(TH!D$1,SMALL(Dong1,ROWS($1:22)),),""))</f>
        <v>C10</v>
      </c>
      <c r="E35" s="128" t="str">
        <f ca="1">IF(ROWS($1:22)&gt;COUNT(Dong1),"",OFFSET(TH!F$1,SMALL(Dong1,ROWS($1:22)),))</f>
        <v>Thanh toán tiền lương tháng 10/2016</v>
      </c>
      <c r="F35" s="86" t="str">
        <f ca="1">IF(ROWS($1:22)&gt;COUNT(Dong1),"",IF(OFFSET(TH!M$1,SMALL(Dong1,ROWS($1:22)),)="1111",OFFSET(TH!L$1,SMALL(Dong1,ROWS($1:22)),),OFFSET(TH!M$1,SMALL(Dong1,ROWS($1:22)),)))</f>
        <v>3341</v>
      </c>
      <c r="G35" s="87">
        <f ca="1">IF(ROWS($1:22)&gt;COUNT(Dong1),"",IF(OFFSET(TH!L$1,SMALL(Dong1,ROWS($1:22)),)="1111",OFFSET(TH!K$1,SMALL(Dong1,ROWS($1:22)),),0))</f>
        <v>0</v>
      </c>
      <c r="H35" s="85">
        <f ca="1">IF(ROWS($1:22)&gt;COUNT(Dong1),"",IF(OFFSET(TH!M$1,SMALL(Dong1,ROWS($1:22)),)="1111",OFFSET(TH!K$1,SMALL(Dong1,ROWS($1:22)),),0))</f>
        <v>18350000</v>
      </c>
      <c r="I35" s="83">
        <f t="shared" ca="1" si="0"/>
        <v>1610735750</v>
      </c>
      <c r="J35" s="88"/>
      <c r="N35" s="411"/>
      <c r="O35" s="411"/>
    </row>
    <row r="36" spans="1:15" ht="21.75" customHeight="1">
      <c r="A36" s="82">
        <f ca="1">IF(ROWS($1:23)&gt;COUNT(Dong1),"",OFFSET(TH!C$1,SMALL(Dong1,ROWS($1:23)),))</f>
        <v>42676</v>
      </c>
      <c r="B36" s="82">
        <f ca="1">IF(ROWS($1:23)&gt;COUNT(Dong1),"",OFFSET(TH!E$1,SMALL(Dong1,ROWS($1:23)),))</f>
        <v>42676</v>
      </c>
      <c r="C36" s="83" t="str">
        <f ca="1">IF(ROWS($1:23)&gt;COUNT(Dong1),"",IF(OFFSET(TH!L$1,SMALL(Dong1,ROWS($1:23)),)="1111",OFFSET(TH!D$1,SMALL(Dong1,ROWS($1:23)),),""))</f>
        <v/>
      </c>
      <c r="D36" s="84" t="str">
        <f ca="1">IF(ROWS($1:23)&gt;COUNT(Dong1),"",IF(OFFSET(TH!M$1,SMALL(Dong1,ROWS($1:23)),)="1111",OFFSET(TH!D$1,SMALL(Dong1,ROWS($1:23)),),""))</f>
        <v>C11</v>
      </c>
      <c r="E36" s="128" t="str">
        <f ca="1">IF(ROWS($1:23)&gt;COUNT(Dong1),"",OFFSET(TH!F$1,SMALL(Dong1,ROWS($1:23)),))</f>
        <v>Dầu DO</v>
      </c>
      <c r="F36" s="86" t="str">
        <f ca="1">IF(ROWS($1:23)&gt;COUNT(Dong1),"",IF(OFFSET(TH!M$1,SMALL(Dong1,ROWS($1:23)),)="1111",OFFSET(TH!L$1,SMALL(Dong1,ROWS($1:23)),),OFFSET(TH!M$1,SMALL(Dong1,ROWS($1:23)),)))</f>
        <v>641</v>
      </c>
      <c r="G36" s="87">
        <f ca="1">IF(ROWS($1:23)&gt;COUNT(Dong1),"",IF(OFFSET(TH!L$1,SMALL(Dong1,ROWS($1:23)),)="1111",OFFSET(TH!K$1,SMALL(Dong1,ROWS($1:23)),),0))</f>
        <v>0</v>
      </c>
      <c r="H36" s="85">
        <f ca="1">IF(ROWS($1:23)&gt;COUNT(Dong1),"",IF(OFFSET(TH!M$1,SMALL(Dong1,ROWS($1:23)),)="1111",OFFSET(TH!K$1,SMALL(Dong1,ROWS($1:23)),),0))</f>
        <v>4912090</v>
      </c>
      <c r="I36" s="83">
        <f t="shared" ca="1" si="0"/>
        <v>1605823660</v>
      </c>
      <c r="J36" s="88"/>
      <c r="N36" s="411"/>
      <c r="O36" s="411"/>
    </row>
    <row r="37" spans="1:15" ht="21.75" customHeight="1">
      <c r="A37" s="82">
        <f ca="1">IF(ROWS($1:24)&gt;COUNT(Dong1),"",OFFSET(TH!C$1,SMALL(Dong1,ROWS($1:24)),))</f>
        <v>42676</v>
      </c>
      <c r="B37" s="82">
        <f ca="1">IF(ROWS($1:24)&gt;COUNT(Dong1),"",OFFSET(TH!E$1,SMALL(Dong1,ROWS($1:24)),))</f>
        <v>42676</v>
      </c>
      <c r="C37" s="83" t="str">
        <f ca="1">IF(ROWS($1:24)&gt;COUNT(Dong1),"",IF(OFFSET(TH!L$1,SMALL(Dong1,ROWS($1:24)),)="1111",OFFSET(TH!D$1,SMALL(Dong1,ROWS($1:24)),),""))</f>
        <v/>
      </c>
      <c r="D37" s="84" t="str">
        <f ca="1">IF(ROWS($1:24)&gt;COUNT(Dong1),"",IF(OFFSET(TH!M$1,SMALL(Dong1,ROWS($1:24)),)="1111",OFFSET(TH!D$1,SMALL(Dong1,ROWS($1:24)),),""))</f>
        <v>C11</v>
      </c>
      <c r="E37" s="128" t="str">
        <f ca="1">IF(ROWS($1:24)&gt;COUNT(Dong1),"",OFFSET(TH!F$1,SMALL(Dong1,ROWS($1:24)),))</f>
        <v>VAT Dầu DO</v>
      </c>
      <c r="F37" s="86" t="str">
        <f ca="1">IF(ROWS($1:24)&gt;COUNT(Dong1),"",IF(OFFSET(TH!M$1,SMALL(Dong1,ROWS($1:24)),)="1111",OFFSET(TH!L$1,SMALL(Dong1,ROWS($1:24)),),OFFSET(TH!M$1,SMALL(Dong1,ROWS($1:24)),)))</f>
        <v>1331</v>
      </c>
      <c r="G37" s="87">
        <f ca="1">IF(ROWS($1:24)&gt;COUNT(Dong1),"",IF(OFFSET(TH!L$1,SMALL(Dong1,ROWS($1:24)),)="1111",OFFSET(TH!K$1,SMALL(Dong1,ROWS($1:24)),),0))</f>
        <v>0</v>
      </c>
      <c r="H37" s="85">
        <f ca="1">IF(ROWS($1:24)&gt;COUNT(Dong1),"",IF(OFFSET(TH!M$1,SMALL(Dong1,ROWS($1:24)),)="1111",OFFSET(TH!K$1,SMALL(Dong1,ROWS($1:24)),),0))</f>
        <v>491210</v>
      </c>
      <c r="I37" s="83">
        <f t="shared" ca="1" si="0"/>
        <v>1605332450</v>
      </c>
      <c r="J37" s="88"/>
      <c r="N37" s="411"/>
      <c r="O37" s="411"/>
    </row>
    <row r="38" spans="1:15" ht="21.75" customHeight="1">
      <c r="A38" s="82">
        <f ca="1">IF(ROWS($1:25)&gt;COUNT(Dong1),"",OFFSET(TH!C$1,SMALL(Dong1,ROWS($1:25)),))</f>
        <v>42678</v>
      </c>
      <c r="B38" s="82">
        <f ca="1">IF(ROWS($1:25)&gt;COUNT(Dong1),"",OFFSET(TH!E$1,SMALL(Dong1,ROWS($1:25)),))</f>
        <v>42678</v>
      </c>
      <c r="C38" s="83" t="str">
        <f ca="1">IF(ROWS($1:25)&gt;COUNT(Dong1),"",IF(OFFSET(TH!L$1,SMALL(Dong1,ROWS($1:25)),)="1111",OFFSET(TH!D$1,SMALL(Dong1,ROWS($1:25)),),""))</f>
        <v/>
      </c>
      <c r="D38" s="84" t="str">
        <f ca="1">IF(ROWS($1:25)&gt;COUNT(Dong1),"",IF(OFFSET(TH!M$1,SMALL(Dong1,ROWS($1:25)),)="1111",OFFSET(TH!D$1,SMALL(Dong1,ROWS($1:25)),),""))</f>
        <v>C12</v>
      </c>
      <c r="E38" s="128" t="str">
        <f ca="1">IF(ROWS($1:25)&gt;COUNT(Dong1),"",OFFSET(TH!F$1,SMALL(Dong1,ROWS($1:25)),))</f>
        <v>Thanh toán tiền hàng</v>
      </c>
      <c r="F38" s="86" t="str">
        <f ca="1">IF(ROWS($1:25)&gt;COUNT(Dong1),"",IF(OFFSET(TH!M$1,SMALL(Dong1,ROWS($1:25)),)="1111",OFFSET(TH!L$1,SMALL(Dong1,ROWS($1:25)),),OFFSET(TH!M$1,SMALL(Dong1,ROWS($1:25)),)))</f>
        <v>331</v>
      </c>
      <c r="G38" s="87">
        <f ca="1">IF(ROWS($1:25)&gt;COUNT(Dong1),"",IF(OFFSET(TH!L$1,SMALL(Dong1,ROWS($1:25)),)="1111",OFFSET(TH!K$1,SMALL(Dong1,ROWS($1:25)),),0))</f>
        <v>0</v>
      </c>
      <c r="H38" s="85">
        <f ca="1">IF(ROWS($1:25)&gt;COUNT(Dong1),"",IF(OFFSET(TH!M$1,SMALL(Dong1,ROWS($1:25)),)="1111",OFFSET(TH!K$1,SMALL(Dong1,ROWS($1:25)),),0))</f>
        <v>13590500</v>
      </c>
      <c r="I38" s="83">
        <f t="shared" ca="1" si="0"/>
        <v>1591741950</v>
      </c>
      <c r="J38" s="88"/>
      <c r="N38" s="411"/>
      <c r="O38" s="411"/>
    </row>
    <row r="39" spans="1:15" ht="21.75" customHeight="1">
      <c r="A39" s="82">
        <f ca="1">IF(ROWS($1:26)&gt;COUNT(Dong1),"",OFFSET(TH!C$1,SMALL(Dong1,ROWS($1:26)),))</f>
        <v>42678</v>
      </c>
      <c r="B39" s="82">
        <f ca="1">IF(ROWS($1:26)&gt;COUNT(Dong1),"",OFFSET(TH!E$1,SMALL(Dong1,ROWS($1:26)),))</f>
        <v>42678</v>
      </c>
      <c r="C39" s="83" t="str">
        <f ca="1">IF(ROWS($1:26)&gt;COUNT(Dong1),"",IF(OFFSET(TH!L$1,SMALL(Dong1,ROWS($1:26)),)="1111",OFFSET(TH!D$1,SMALL(Dong1,ROWS($1:26)),),""))</f>
        <v>T08</v>
      </c>
      <c r="D39" s="84" t="str">
        <f ca="1">IF(ROWS($1:26)&gt;COUNT(Dong1),"",IF(OFFSET(TH!M$1,SMALL(Dong1,ROWS($1:26)),)="1111",OFFSET(TH!D$1,SMALL(Dong1,ROWS($1:26)),),""))</f>
        <v/>
      </c>
      <c r="E39" s="128" t="str">
        <f ca="1">IF(ROWS($1:26)&gt;COUNT(Dong1),"",OFFSET(TH!F$1,SMALL(Dong1,ROWS($1:26)),))</f>
        <v>Rút tiền mặt</v>
      </c>
      <c r="F39" s="86" t="str">
        <f ca="1">IF(ROWS($1:26)&gt;COUNT(Dong1),"",IF(OFFSET(TH!M$1,SMALL(Dong1,ROWS($1:26)),)="1111",OFFSET(TH!L$1,SMALL(Dong1,ROWS($1:26)),),OFFSET(TH!M$1,SMALL(Dong1,ROWS($1:26)),)))</f>
        <v>1121</v>
      </c>
      <c r="G39" s="87">
        <f ca="1">IF(ROWS($1:26)&gt;COUNT(Dong1),"",IF(OFFSET(TH!L$1,SMALL(Dong1,ROWS($1:26)),)="1111",OFFSET(TH!K$1,SMALL(Dong1,ROWS($1:26)),),0))</f>
        <v>59000000</v>
      </c>
      <c r="H39" s="85">
        <f ca="1">IF(ROWS($1:26)&gt;COUNT(Dong1),"",IF(OFFSET(TH!M$1,SMALL(Dong1,ROWS($1:26)),)="1111",OFFSET(TH!K$1,SMALL(Dong1,ROWS($1:26)),),0))</f>
        <v>0</v>
      </c>
      <c r="I39" s="83">
        <f t="shared" ca="1" si="0"/>
        <v>1650741950</v>
      </c>
      <c r="J39" s="88"/>
      <c r="N39" s="411"/>
      <c r="O39" s="411"/>
    </row>
    <row r="40" spans="1:15" ht="21.75" customHeight="1">
      <c r="A40" s="82">
        <f ca="1">IF(ROWS($1:27)&gt;COUNT(Dong1),"",OFFSET(TH!C$1,SMALL(Dong1,ROWS($1:27)),))</f>
        <v>42679</v>
      </c>
      <c r="B40" s="82">
        <f ca="1">IF(ROWS($1:27)&gt;COUNT(Dong1),"",OFFSET(TH!E$1,SMALL(Dong1,ROWS($1:27)),))</f>
        <v>42679</v>
      </c>
      <c r="C40" s="83" t="str">
        <f ca="1">IF(ROWS($1:27)&gt;COUNT(Dong1),"",IF(OFFSET(TH!L$1,SMALL(Dong1,ROWS($1:27)),)="1111",OFFSET(TH!D$1,SMALL(Dong1,ROWS($1:27)),),""))</f>
        <v/>
      </c>
      <c r="D40" s="84" t="str">
        <f ca="1">IF(ROWS($1:27)&gt;COUNT(Dong1),"",IF(OFFSET(TH!M$1,SMALL(Dong1,ROWS($1:27)),)="1111",OFFSET(TH!D$1,SMALL(Dong1,ROWS($1:27)),),""))</f>
        <v>C13</v>
      </c>
      <c r="E40" s="128" t="str">
        <f ca="1">IF(ROWS($1:27)&gt;COUNT(Dong1),"",OFFSET(TH!F$1,SMALL(Dong1,ROWS($1:27)),))</f>
        <v>Vật dụng sửa xe</v>
      </c>
      <c r="F40" s="86" t="str">
        <f ca="1">IF(ROWS($1:27)&gt;COUNT(Dong1),"",IF(OFFSET(TH!M$1,SMALL(Dong1,ROWS($1:27)),)="1111",OFFSET(TH!L$1,SMALL(Dong1,ROWS($1:27)),),OFFSET(TH!M$1,SMALL(Dong1,ROWS($1:27)),)))</f>
        <v>642</v>
      </c>
      <c r="G40" s="87">
        <f ca="1">IF(ROWS($1:27)&gt;COUNT(Dong1),"",IF(OFFSET(TH!L$1,SMALL(Dong1,ROWS($1:27)),)="1111",OFFSET(TH!K$1,SMALL(Dong1,ROWS($1:27)),),0))</f>
        <v>0</v>
      </c>
      <c r="H40" s="85">
        <f ca="1">IF(ROWS($1:27)&gt;COUNT(Dong1),"",IF(OFFSET(TH!M$1,SMALL(Dong1,ROWS($1:27)),)="1111",OFFSET(TH!K$1,SMALL(Dong1,ROWS($1:27)),),0))</f>
        <v>3910000</v>
      </c>
      <c r="I40" s="83">
        <f t="shared" ca="1" si="0"/>
        <v>1646831950</v>
      </c>
      <c r="J40" s="88"/>
      <c r="N40" s="411"/>
      <c r="O40" s="411"/>
    </row>
    <row r="41" spans="1:15" ht="21.75" customHeight="1">
      <c r="A41" s="82">
        <f ca="1">IF(ROWS($1:28)&gt;COUNT(Dong1),"",OFFSET(TH!C$1,SMALL(Dong1,ROWS($1:28)),))</f>
        <v>42679</v>
      </c>
      <c r="B41" s="82">
        <f ca="1">IF(ROWS($1:28)&gt;COUNT(Dong1),"",OFFSET(TH!E$1,SMALL(Dong1,ROWS($1:28)),))</f>
        <v>42679</v>
      </c>
      <c r="C41" s="83" t="str">
        <f ca="1">IF(ROWS($1:28)&gt;COUNT(Dong1),"",IF(OFFSET(TH!L$1,SMALL(Dong1,ROWS($1:28)),)="1111",OFFSET(TH!D$1,SMALL(Dong1,ROWS($1:28)),),""))</f>
        <v/>
      </c>
      <c r="D41" s="84" t="str">
        <f ca="1">IF(ROWS($1:28)&gt;COUNT(Dong1),"",IF(OFFSET(TH!M$1,SMALL(Dong1,ROWS($1:28)),)="1111",OFFSET(TH!D$1,SMALL(Dong1,ROWS($1:28)),),""))</f>
        <v>C13</v>
      </c>
      <c r="E41" s="128" t="str">
        <f ca="1">IF(ROWS($1:28)&gt;COUNT(Dong1),"",OFFSET(TH!F$1,SMALL(Dong1,ROWS($1:28)),))</f>
        <v>VAT Vật dụng sửa xe</v>
      </c>
      <c r="F41" s="86" t="str">
        <f ca="1">IF(ROWS($1:28)&gt;COUNT(Dong1),"",IF(OFFSET(TH!M$1,SMALL(Dong1,ROWS($1:28)),)="1111",OFFSET(TH!L$1,SMALL(Dong1,ROWS($1:28)),),OFFSET(TH!M$1,SMALL(Dong1,ROWS($1:28)),)))</f>
        <v>1331</v>
      </c>
      <c r="G41" s="87">
        <f ca="1">IF(ROWS($1:28)&gt;COUNT(Dong1),"",IF(OFFSET(TH!L$1,SMALL(Dong1,ROWS($1:28)),)="1111",OFFSET(TH!K$1,SMALL(Dong1,ROWS($1:28)),),0))</f>
        <v>0</v>
      </c>
      <c r="H41" s="85">
        <f ca="1">IF(ROWS($1:28)&gt;COUNT(Dong1),"",IF(OFFSET(TH!M$1,SMALL(Dong1,ROWS($1:28)),)="1111",OFFSET(TH!K$1,SMALL(Dong1,ROWS($1:28)),),0))</f>
        <v>391000</v>
      </c>
      <c r="I41" s="83">
        <f t="shared" ca="1" si="0"/>
        <v>1646440950</v>
      </c>
      <c r="J41" s="88"/>
      <c r="N41" s="411"/>
      <c r="O41" s="411"/>
    </row>
    <row r="42" spans="1:15" ht="21.75" customHeight="1">
      <c r="A42" s="82">
        <f ca="1">IF(ROWS($1:29)&gt;COUNT(Dong1),"",OFFSET(TH!C$1,SMALL(Dong1,ROWS($1:29)),))</f>
        <v>42683</v>
      </c>
      <c r="B42" s="82">
        <f ca="1">IF(ROWS($1:29)&gt;COUNT(Dong1),"",OFFSET(TH!E$1,SMALL(Dong1,ROWS($1:29)),))</f>
        <v>42683</v>
      </c>
      <c r="C42" s="83" t="str">
        <f ca="1">IF(ROWS($1:29)&gt;COUNT(Dong1),"",IF(OFFSET(TH!L$1,SMALL(Dong1,ROWS($1:29)),)="1111",OFFSET(TH!D$1,SMALL(Dong1,ROWS($1:29)),),""))</f>
        <v/>
      </c>
      <c r="D42" s="84" t="str">
        <f ca="1">IF(ROWS($1:29)&gt;COUNT(Dong1),"",IF(OFFSET(TH!M$1,SMALL(Dong1,ROWS($1:29)),)="1111",OFFSET(TH!D$1,SMALL(Dong1,ROWS($1:29)),),""))</f>
        <v>C14</v>
      </c>
      <c r="E42" s="128" t="str">
        <f ca="1">IF(ROWS($1:29)&gt;COUNT(Dong1),"",OFFSET(TH!F$1,SMALL(Dong1,ROWS($1:29)),))</f>
        <v>Xe nâng tay</v>
      </c>
      <c r="F42" s="86" t="str">
        <f ca="1">IF(ROWS($1:29)&gt;COUNT(Dong1),"",IF(OFFSET(TH!M$1,SMALL(Dong1,ROWS($1:29)),)="1111",OFFSET(TH!L$1,SMALL(Dong1,ROWS($1:29)),),OFFSET(TH!M$1,SMALL(Dong1,ROWS($1:29)),)))</f>
        <v>642</v>
      </c>
      <c r="G42" s="87">
        <f ca="1">IF(ROWS($1:29)&gt;COUNT(Dong1),"",IF(OFFSET(TH!L$1,SMALL(Dong1,ROWS($1:29)),)="1111",OFFSET(TH!K$1,SMALL(Dong1,ROWS($1:29)),),0))</f>
        <v>0</v>
      </c>
      <c r="H42" s="85">
        <f ca="1">IF(ROWS($1:29)&gt;COUNT(Dong1),"",IF(OFFSET(TH!M$1,SMALL(Dong1,ROWS($1:29)),)="1111",OFFSET(TH!K$1,SMALL(Dong1,ROWS($1:29)),),0))</f>
        <v>3150000</v>
      </c>
      <c r="I42" s="83">
        <f t="shared" ca="1" si="0"/>
        <v>1643290950</v>
      </c>
      <c r="J42" s="88"/>
      <c r="N42" s="411"/>
      <c r="O42" s="411"/>
    </row>
    <row r="43" spans="1:15" ht="21.75" customHeight="1">
      <c r="A43" s="82">
        <f ca="1">IF(ROWS($1:30)&gt;COUNT(Dong1),"",OFFSET(TH!C$1,SMALL(Dong1,ROWS($1:30)),))</f>
        <v>42683</v>
      </c>
      <c r="B43" s="82">
        <f ca="1">IF(ROWS($1:30)&gt;COUNT(Dong1),"",OFFSET(TH!E$1,SMALL(Dong1,ROWS($1:30)),))</f>
        <v>42683</v>
      </c>
      <c r="C43" s="83" t="str">
        <f ca="1">IF(ROWS($1:30)&gt;COUNT(Dong1),"",IF(OFFSET(TH!L$1,SMALL(Dong1,ROWS($1:30)),)="1111",OFFSET(TH!D$1,SMALL(Dong1,ROWS($1:30)),),""))</f>
        <v/>
      </c>
      <c r="D43" s="84" t="str">
        <f ca="1">IF(ROWS($1:30)&gt;COUNT(Dong1),"",IF(OFFSET(TH!M$1,SMALL(Dong1,ROWS($1:30)),)="1111",OFFSET(TH!D$1,SMALL(Dong1,ROWS($1:30)),),""))</f>
        <v>C14</v>
      </c>
      <c r="E43" s="128" t="str">
        <f ca="1">IF(ROWS($1:30)&gt;COUNT(Dong1),"",OFFSET(TH!F$1,SMALL(Dong1,ROWS($1:30)),))</f>
        <v>VAT Xe nâng tay</v>
      </c>
      <c r="F43" s="86" t="str">
        <f ca="1">IF(ROWS($1:30)&gt;COUNT(Dong1),"",IF(OFFSET(TH!M$1,SMALL(Dong1,ROWS($1:30)),)="1111",OFFSET(TH!L$1,SMALL(Dong1,ROWS($1:30)),),OFFSET(TH!M$1,SMALL(Dong1,ROWS($1:30)),)))</f>
        <v>1331</v>
      </c>
      <c r="G43" s="87">
        <f ca="1">IF(ROWS($1:30)&gt;COUNT(Dong1),"",IF(OFFSET(TH!L$1,SMALL(Dong1,ROWS($1:30)),)="1111",OFFSET(TH!K$1,SMALL(Dong1,ROWS($1:30)),),0))</f>
        <v>0</v>
      </c>
      <c r="H43" s="85">
        <f ca="1">IF(ROWS($1:30)&gt;COUNT(Dong1),"",IF(OFFSET(TH!M$1,SMALL(Dong1,ROWS($1:30)),)="1111",OFFSET(TH!K$1,SMALL(Dong1,ROWS($1:30)),),0))</f>
        <v>315000</v>
      </c>
      <c r="I43" s="83">
        <f t="shared" ca="1" si="0"/>
        <v>1642975950</v>
      </c>
      <c r="J43" s="88"/>
      <c r="N43" s="411"/>
      <c r="O43" s="411"/>
    </row>
    <row r="44" spans="1:15" ht="21.75" customHeight="1">
      <c r="A44" s="82">
        <f ca="1">IF(ROWS($1:31)&gt;COUNT(Dong1),"",OFFSET(TH!C$1,SMALL(Dong1,ROWS($1:31)),))</f>
        <v>42683</v>
      </c>
      <c r="B44" s="82">
        <f ca="1">IF(ROWS($1:31)&gt;COUNT(Dong1),"",OFFSET(TH!E$1,SMALL(Dong1,ROWS($1:31)),))</f>
        <v>42683</v>
      </c>
      <c r="C44" s="83" t="str">
        <f ca="1">IF(ROWS($1:31)&gt;COUNT(Dong1),"",IF(OFFSET(TH!L$1,SMALL(Dong1,ROWS($1:31)),)="1111",OFFSET(TH!D$1,SMALL(Dong1,ROWS($1:31)),),""))</f>
        <v>T09</v>
      </c>
      <c r="D44" s="84" t="str">
        <f ca="1">IF(ROWS($1:31)&gt;COUNT(Dong1),"",IF(OFFSET(TH!M$1,SMALL(Dong1,ROWS($1:31)),)="1111",OFFSET(TH!D$1,SMALL(Dong1,ROWS($1:31)),),""))</f>
        <v/>
      </c>
      <c r="E44" s="128" t="str">
        <f ca="1">IF(ROWS($1:31)&gt;COUNT(Dong1),"",OFFSET(TH!F$1,SMALL(Dong1,ROWS($1:31)),))</f>
        <v>Thu tiền hàng</v>
      </c>
      <c r="F44" s="86" t="str">
        <f ca="1">IF(ROWS($1:31)&gt;COUNT(Dong1),"",IF(OFFSET(TH!M$1,SMALL(Dong1,ROWS($1:31)),)="1111",OFFSET(TH!L$1,SMALL(Dong1,ROWS($1:31)),),OFFSET(TH!M$1,SMALL(Dong1,ROWS($1:31)),)))</f>
        <v>131</v>
      </c>
      <c r="G44" s="87">
        <f ca="1">IF(ROWS($1:31)&gt;COUNT(Dong1),"",IF(OFFSET(TH!L$1,SMALL(Dong1,ROWS($1:31)),)="1111",OFFSET(TH!K$1,SMALL(Dong1,ROWS($1:31)),),0))</f>
        <v>19800000</v>
      </c>
      <c r="H44" s="85">
        <f ca="1">IF(ROWS($1:31)&gt;COUNT(Dong1),"",IF(OFFSET(TH!M$1,SMALL(Dong1,ROWS($1:31)),)="1111",OFFSET(TH!K$1,SMALL(Dong1,ROWS($1:31)),),0))</f>
        <v>0</v>
      </c>
      <c r="I44" s="83">
        <f t="shared" ca="1" si="0"/>
        <v>1662775950</v>
      </c>
      <c r="J44" s="88"/>
      <c r="N44" s="411"/>
      <c r="O44" s="411"/>
    </row>
    <row r="45" spans="1:15" ht="21.75" customHeight="1">
      <c r="A45" s="82">
        <f ca="1">IF(ROWS($1:32)&gt;COUNT(Dong1),"",OFFSET(TH!C$1,SMALL(Dong1,ROWS($1:32)),))</f>
        <v>42684</v>
      </c>
      <c r="B45" s="82">
        <f ca="1">IF(ROWS($1:32)&gt;COUNT(Dong1),"",OFFSET(TH!E$1,SMALL(Dong1,ROWS($1:32)),))</f>
        <v>42684</v>
      </c>
      <c r="C45" s="83" t="str">
        <f ca="1">IF(ROWS($1:32)&gt;COUNT(Dong1),"",IF(OFFSET(TH!L$1,SMALL(Dong1,ROWS($1:32)),)="1111",OFFSET(TH!D$1,SMALL(Dong1,ROWS($1:32)),),""))</f>
        <v/>
      </c>
      <c r="D45" s="84" t="str">
        <f ca="1">IF(ROWS($1:32)&gt;COUNT(Dong1),"",IF(OFFSET(TH!M$1,SMALL(Dong1,ROWS($1:32)),)="1111",OFFSET(TH!D$1,SMALL(Dong1,ROWS($1:32)),),""))</f>
        <v>C15</v>
      </c>
      <c r="E45" s="128" t="str">
        <f ca="1">IF(ROWS($1:32)&gt;COUNT(Dong1),"",OFFSET(TH!F$1,SMALL(Dong1,ROWS($1:32)),))</f>
        <v>Thanh toán tiền hàng</v>
      </c>
      <c r="F45" s="86" t="str">
        <f ca="1">IF(ROWS($1:32)&gt;COUNT(Dong1),"",IF(OFFSET(TH!M$1,SMALL(Dong1,ROWS($1:32)),)="1111",OFFSET(TH!L$1,SMALL(Dong1,ROWS($1:32)),),OFFSET(TH!M$1,SMALL(Dong1,ROWS($1:32)),)))</f>
        <v>331</v>
      </c>
      <c r="G45" s="87">
        <f ca="1">IF(ROWS($1:32)&gt;COUNT(Dong1),"",IF(OFFSET(TH!L$1,SMALL(Dong1,ROWS($1:32)),)="1111",OFFSET(TH!K$1,SMALL(Dong1,ROWS($1:32)),),0))</f>
        <v>0</v>
      </c>
      <c r="H45" s="85">
        <f ca="1">IF(ROWS($1:32)&gt;COUNT(Dong1),"",IF(OFFSET(TH!M$1,SMALL(Dong1,ROWS($1:32)),)="1111",OFFSET(TH!K$1,SMALL(Dong1,ROWS($1:32)),),0))</f>
        <v>19800000</v>
      </c>
      <c r="I45" s="83">
        <f t="shared" ca="1" si="0"/>
        <v>1642975950</v>
      </c>
      <c r="J45" s="88"/>
      <c r="N45" s="411"/>
      <c r="O45" s="411"/>
    </row>
    <row r="46" spans="1:15" ht="21.75" customHeight="1">
      <c r="A46" s="82">
        <f ca="1">IF(ROWS($1:33)&gt;COUNT(Dong1),"",OFFSET(TH!C$1,SMALL(Dong1,ROWS($1:33)),))</f>
        <v>42684</v>
      </c>
      <c r="B46" s="82">
        <f ca="1">IF(ROWS($1:33)&gt;COUNT(Dong1),"",OFFSET(TH!E$1,SMALL(Dong1,ROWS($1:33)),))</f>
        <v>42684</v>
      </c>
      <c r="C46" s="83" t="str">
        <f ca="1">IF(ROWS($1:33)&gt;COUNT(Dong1),"",IF(OFFSET(TH!L$1,SMALL(Dong1,ROWS($1:33)),)="1111",OFFSET(TH!D$1,SMALL(Dong1,ROWS($1:33)),),""))</f>
        <v>T10</v>
      </c>
      <c r="D46" s="84" t="str">
        <f ca="1">IF(ROWS($1:33)&gt;COUNT(Dong1),"",IF(OFFSET(TH!M$1,SMALL(Dong1,ROWS($1:33)),)="1111",OFFSET(TH!D$1,SMALL(Dong1,ROWS($1:33)),),""))</f>
        <v/>
      </c>
      <c r="E46" s="128" t="str">
        <f ca="1">IF(ROWS($1:33)&gt;COUNT(Dong1),"",OFFSET(TH!F$1,SMALL(Dong1,ROWS($1:33)),))</f>
        <v>Thu tiền hàng</v>
      </c>
      <c r="F46" s="86" t="str">
        <f ca="1">IF(ROWS($1:33)&gt;COUNT(Dong1),"",IF(OFFSET(TH!M$1,SMALL(Dong1,ROWS($1:33)),)="1111",OFFSET(TH!L$1,SMALL(Dong1,ROWS($1:33)),),OFFSET(TH!M$1,SMALL(Dong1,ROWS($1:33)),)))</f>
        <v>131</v>
      </c>
      <c r="G46" s="87">
        <f ca="1">IF(ROWS($1:33)&gt;COUNT(Dong1),"",IF(OFFSET(TH!L$1,SMALL(Dong1,ROWS($1:33)),)="1111",OFFSET(TH!K$1,SMALL(Dong1,ROWS($1:33)),),0))</f>
        <v>19800000</v>
      </c>
      <c r="H46" s="85">
        <f ca="1">IF(ROWS($1:33)&gt;COUNT(Dong1),"",IF(OFFSET(TH!M$1,SMALL(Dong1,ROWS($1:33)),)="1111",OFFSET(TH!K$1,SMALL(Dong1,ROWS($1:33)),),0))</f>
        <v>0</v>
      </c>
      <c r="I46" s="83">
        <f t="shared" ca="1" si="0"/>
        <v>1662775950</v>
      </c>
      <c r="J46" s="88"/>
      <c r="N46" s="411"/>
      <c r="O46" s="411"/>
    </row>
    <row r="47" spans="1:15" ht="21.75" customHeight="1">
      <c r="A47" s="82">
        <f ca="1">IF(ROWS($1:34)&gt;COUNT(Dong1),"",OFFSET(TH!C$1,SMALL(Dong1,ROWS($1:34)),))</f>
        <v>42685</v>
      </c>
      <c r="B47" s="82">
        <f ca="1">IF(ROWS($1:34)&gt;COUNT(Dong1),"",OFFSET(TH!E$1,SMALL(Dong1,ROWS($1:34)),))</f>
        <v>42685</v>
      </c>
      <c r="C47" s="83" t="str">
        <f ca="1">IF(ROWS($1:34)&gt;COUNT(Dong1),"",IF(OFFSET(TH!L$1,SMALL(Dong1,ROWS($1:34)),)="1111",OFFSET(TH!D$1,SMALL(Dong1,ROWS($1:34)),),""))</f>
        <v>T11</v>
      </c>
      <c r="D47" s="84" t="str">
        <f ca="1">IF(ROWS($1:34)&gt;COUNT(Dong1),"",IF(OFFSET(TH!M$1,SMALL(Dong1,ROWS($1:34)),)="1111",OFFSET(TH!D$1,SMALL(Dong1,ROWS($1:34)),),""))</f>
        <v/>
      </c>
      <c r="E47" s="128" t="str">
        <f ca="1">IF(ROWS($1:34)&gt;COUNT(Dong1),"",OFFSET(TH!F$1,SMALL(Dong1,ROWS($1:34)),))</f>
        <v>Rút tiền mặt</v>
      </c>
      <c r="F47" s="86" t="str">
        <f ca="1">IF(ROWS($1:34)&gt;COUNT(Dong1),"",IF(OFFSET(TH!M$1,SMALL(Dong1,ROWS($1:34)),)="1111",OFFSET(TH!L$1,SMALL(Dong1,ROWS($1:34)),),OFFSET(TH!M$1,SMALL(Dong1,ROWS($1:34)),)))</f>
        <v>1121</v>
      </c>
      <c r="G47" s="87">
        <f ca="1">IF(ROWS($1:34)&gt;COUNT(Dong1),"",IF(OFFSET(TH!L$1,SMALL(Dong1,ROWS($1:34)),)="1111",OFFSET(TH!K$1,SMALL(Dong1,ROWS($1:34)),),0))</f>
        <v>18000000</v>
      </c>
      <c r="H47" s="85">
        <f ca="1">IF(ROWS($1:34)&gt;COUNT(Dong1),"",IF(OFFSET(TH!M$1,SMALL(Dong1,ROWS($1:34)),)="1111",OFFSET(TH!K$1,SMALL(Dong1,ROWS($1:34)),),0))</f>
        <v>0</v>
      </c>
      <c r="I47" s="83">
        <f t="shared" ca="1" si="0"/>
        <v>1680775950</v>
      </c>
      <c r="J47" s="88"/>
      <c r="N47" s="411"/>
      <c r="O47" s="411"/>
    </row>
    <row r="48" spans="1:15" ht="21.75" customHeight="1">
      <c r="A48" s="82">
        <f ca="1">IF(ROWS($1:35)&gt;COUNT(Dong1),"",OFFSET(TH!C$1,SMALL(Dong1,ROWS($1:35)),))</f>
        <v>42686</v>
      </c>
      <c r="B48" s="82">
        <f ca="1">IF(ROWS($1:35)&gt;COUNT(Dong1),"",OFFSET(TH!E$1,SMALL(Dong1,ROWS($1:35)),))</f>
        <v>42686</v>
      </c>
      <c r="C48" s="83" t="str">
        <f ca="1">IF(ROWS($1:35)&gt;COUNT(Dong1),"",IF(OFFSET(TH!L$1,SMALL(Dong1,ROWS($1:35)),)="1111",OFFSET(TH!D$1,SMALL(Dong1,ROWS($1:35)),),""))</f>
        <v/>
      </c>
      <c r="D48" s="84" t="str">
        <f ca="1">IF(ROWS($1:35)&gt;COUNT(Dong1),"",IF(OFFSET(TH!M$1,SMALL(Dong1,ROWS($1:35)),)="1111",OFFSET(TH!D$1,SMALL(Dong1,ROWS($1:35)),),""))</f>
        <v>C16</v>
      </c>
      <c r="E48" s="128" t="str">
        <f ca="1">IF(ROWS($1:35)&gt;COUNT(Dong1),"",OFFSET(TH!F$1,SMALL(Dong1,ROWS($1:35)),))</f>
        <v>Mực in</v>
      </c>
      <c r="F48" s="86" t="str">
        <f ca="1">IF(ROWS($1:35)&gt;COUNT(Dong1),"",IF(OFFSET(TH!M$1,SMALL(Dong1,ROWS($1:35)),)="1111",OFFSET(TH!L$1,SMALL(Dong1,ROWS($1:35)),),OFFSET(TH!M$1,SMALL(Dong1,ROWS($1:35)),)))</f>
        <v>154</v>
      </c>
      <c r="G48" s="87">
        <f ca="1">IF(ROWS($1:35)&gt;COUNT(Dong1),"",IF(OFFSET(TH!L$1,SMALL(Dong1,ROWS($1:35)),)="1111",OFFSET(TH!K$1,SMALL(Dong1,ROWS($1:35)),),0))</f>
        <v>0</v>
      </c>
      <c r="H48" s="85">
        <f ca="1">IF(ROWS($1:35)&gt;COUNT(Dong1),"",IF(OFFSET(TH!M$1,SMALL(Dong1,ROWS($1:35)),)="1111",OFFSET(TH!K$1,SMALL(Dong1,ROWS($1:35)),),0))</f>
        <v>5800000</v>
      </c>
      <c r="I48" s="83">
        <f t="shared" ca="1" si="0"/>
        <v>1674975950</v>
      </c>
      <c r="J48" s="88"/>
      <c r="N48" s="411"/>
      <c r="O48" s="411"/>
    </row>
    <row r="49" spans="1:15" ht="21.75" customHeight="1">
      <c r="A49" s="82">
        <f ca="1">IF(ROWS($1:36)&gt;COUNT(Dong1),"",OFFSET(TH!C$1,SMALL(Dong1,ROWS($1:36)),))</f>
        <v>42686</v>
      </c>
      <c r="B49" s="82">
        <f ca="1">IF(ROWS($1:36)&gt;COUNT(Dong1),"",OFFSET(TH!E$1,SMALL(Dong1,ROWS($1:36)),))</f>
        <v>42686</v>
      </c>
      <c r="C49" s="83" t="str">
        <f ca="1">IF(ROWS($1:36)&gt;COUNT(Dong1),"",IF(OFFSET(TH!L$1,SMALL(Dong1,ROWS($1:36)),)="1111",OFFSET(TH!D$1,SMALL(Dong1,ROWS($1:36)),),""))</f>
        <v/>
      </c>
      <c r="D49" s="84" t="str">
        <f ca="1">IF(ROWS($1:36)&gt;COUNT(Dong1),"",IF(OFFSET(TH!M$1,SMALL(Dong1,ROWS($1:36)),)="1111",OFFSET(TH!D$1,SMALL(Dong1,ROWS($1:36)),),""))</f>
        <v>C16</v>
      </c>
      <c r="E49" s="128" t="str">
        <f ca="1">IF(ROWS($1:36)&gt;COUNT(Dong1),"",OFFSET(TH!F$1,SMALL(Dong1,ROWS($1:36)),))</f>
        <v>VAT Mực in</v>
      </c>
      <c r="F49" s="86" t="str">
        <f ca="1">IF(ROWS($1:36)&gt;COUNT(Dong1),"",IF(OFFSET(TH!M$1,SMALL(Dong1,ROWS($1:36)),)="1111",OFFSET(TH!L$1,SMALL(Dong1,ROWS($1:36)),),OFFSET(TH!M$1,SMALL(Dong1,ROWS($1:36)),)))</f>
        <v>1331</v>
      </c>
      <c r="G49" s="87">
        <f ca="1">IF(ROWS($1:36)&gt;COUNT(Dong1),"",IF(OFFSET(TH!L$1,SMALL(Dong1,ROWS($1:36)),)="1111",OFFSET(TH!K$1,SMALL(Dong1,ROWS($1:36)),),0))</f>
        <v>0</v>
      </c>
      <c r="H49" s="85">
        <f ca="1">IF(ROWS($1:36)&gt;COUNT(Dong1),"",IF(OFFSET(TH!M$1,SMALL(Dong1,ROWS($1:36)),)="1111",OFFSET(TH!K$1,SMALL(Dong1,ROWS($1:36)),),0))</f>
        <v>580000</v>
      </c>
      <c r="I49" s="83">
        <f t="shared" ca="1" si="0"/>
        <v>1674395950</v>
      </c>
      <c r="J49" s="88"/>
      <c r="N49" s="411"/>
      <c r="O49" s="411"/>
    </row>
    <row r="50" spans="1:15" ht="21.75" customHeight="1">
      <c r="A50" s="82">
        <f ca="1">IF(ROWS($1:37)&gt;COUNT(Dong1),"",OFFSET(TH!C$1,SMALL(Dong1,ROWS($1:37)),))</f>
        <v>42688</v>
      </c>
      <c r="B50" s="82">
        <f ca="1">IF(ROWS($1:37)&gt;COUNT(Dong1),"",OFFSET(TH!E$1,SMALL(Dong1,ROWS($1:37)),))</f>
        <v>42688</v>
      </c>
      <c r="C50" s="83" t="str">
        <f ca="1">IF(ROWS($1:37)&gt;COUNT(Dong1),"",IF(OFFSET(TH!L$1,SMALL(Dong1,ROWS($1:37)),)="1111",OFFSET(TH!D$1,SMALL(Dong1,ROWS($1:37)),),""))</f>
        <v/>
      </c>
      <c r="D50" s="84" t="str">
        <f ca="1">IF(ROWS($1:37)&gt;COUNT(Dong1),"",IF(OFFSET(TH!M$1,SMALL(Dong1,ROWS($1:37)),)="1111",OFFSET(TH!D$1,SMALL(Dong1,ROWS($1:37)),),""))</f>
        <v>C17</v>
      </c>
      <c r="E50" s="128" t="str">
        <f ca="1">IF(ROWS($1:37)&gt;COUNT(Dong1),"",OFFSET(TH!F$1,SMALL(Dong1,ROWS($1:37)),))</f>
        <v>Thanh toán tiền hàng</v>
      </c>
      <c r="F50" s="86" t="str">
        <f ca="1">IF(ROWS($1:37)&gt;COUNT(Dong1),"",IF(OFFSET(TH!M$1,SMALL(Dong1,ROWS($1:37)),)="1111",OFFSET(TH!L$1,SMALL(Dong1,ROWS($1:37)),),OFFSET(TH!M$1,SMALL(Dong1,ROWS($1:37)),)))</f>
        <v>331</v>
      </c>
      <c r="G50" s="87">
        <f ca="1">IF(ROWS($1:37)&gt;COUNT(Dong1),"",IF(OFFSET(TH!L$1,SMALL(Dong1,ROWS($1:37)),)="1111",OFFSET(TH!K$1,SMALL(Dong1,ROWS($1:37)),),0))</f>
        <v>0</v>
      </c>
      <c r="H50" s="85">
        <f ca="1">IF(ROWS($1:37)&gt;COUNT(Dong1),"",IF(OFFSET(TH!M$1,SMALL(Dong1,ROWS($1:37)),)="1111",OFFSET(TH!K$1,SMALL(Dong1,ROWS($1:37)),),0))</f>
        <v>16007200</v>
      </c>
      <c r="I50" s="83">
        <f t="shared" ca="1" si="0"/>
        <v>1658388750</v>
      </c>
      <c r="J50" s="88"/>
    </row>
    <row r="51" spans="1:15" ht="21.75" customHeight="1">
      <c r="A51" s="82">
        <f ca="1">IF(ROWS($1:38)&gt;COUNT(Dong1),"",OFFSET(TH!C$1,SMALL(Dong1,ROWS($1:38)),))</f>
        <v>42688</v>
      </c>
      <c r="B51" s="82">
        <f ca="1">IF(ROWS($1:38)&gt;COUNT(Dong1),"",OFFSET(TH!E$1,SMALL(Dong1,ROWS($1:38)),))</f>
        <v>42688</v>
      </c>
      <c r="C51" s="83" t="str">
        <f ca="1">IF(ROWS($1:38)&gt;COUNT(Dong1),"",IF(OFFSET(TH!L$1,SMALL(Dong1,ROWS($1:38)),)="1111",OFFSET(TH!D$1,SMALL(Dong1,ROWS($1:38)),),""))</f>
        <v/>
      </c>
      <c r="D51" s="84" t="str">
        <f ca="1">IF(ROWS($1:38)&gt;COUNT(Dong1),"",IF(OFFSET(TH!M$1,SMALL(Dong1,ROWS($1:38)),)="1111",OFFSET(TH!D$1,SMALL(Dong1,ROWS($1:38)),),""))</f>
        <v>C18</v>
      </c>
      <c r="E51" s="128" t="str">
        <f ca="1">IF(ROWS($1:38)&gt;COUNT(Dong1),"",OFFSET(TH!F$1,SMALL(Dong1,ROWS($1:38)),))</f>
        <v>Nộp tiền mặt</v>
      </c>
      <c r="F51" s="86" t="str">
        <f ca="1">IF(ROWS($1:38)&gt;COUNT(Dong1),"",IF(OFFSET(TH!M$1,SMALL(Dong1,ROWS($1:38)),)="1111",OFFSET(TH!L$1,SMALL(Dong1,ROWS($1:38)),),OFFSET(TH!M$1,SMALL(Dong1,ROWS($1:38)),)))</f>
        <v>1121</v>
      </c>
      <c r="G51" s="87">
        <f ca="1">IF(ROWS($1:38)&gt;COUNT(Dong1),"",IF(OFFSET(TH!L$1,SMALL(Dong1,ROWS($1:38)),)="1111",OFFSET(TH!K$1,SMALL(Dong1,ROWS($1:38)),),0))</f>
        <v>0</v>
      </c>
      <c r="H51" s="85">
        <f ca="1">IF(ROWS($1:38)&gt;COUNT(Dong1),"",IF(OFFSET(TH!M$1,SMALL(Dong1,ROWS($1:38)),)="1111",OFFSET(TH!K$1,SMALL(Dong1,ROWS($1:38)),),0))</f>
        <v>20000000</v>
      </c>
      <c r="I51" s="83">
        <f t="shared" ca="1" si="0"/>
        <v>1638388750</v>
      </c>
      <c r="J51" s="88"/>
    </row>
    <row r="52" spans="1:15" ht="21.75" customHeight="1">
      <c r="A52" s="82">
        <f ca="1">IF(ROWS($1:39)&gt;COUNT(Dong1),"",OFFSET(TH!C$1,SMALL(Dong1,ROWS($1:39)),))</f>
        <v>42689</v>
      </c>
      <c r="B52" s="82">
        <f ca="1">IF(ROWS($1:39)&gt;COUNT(Dong1),"",OFFSET(TH!E$1,SMALL(Dong1,ROWS($1:39)),))</f>
        <v>42689</v>
      </c>
      <c r="C52" s="83" t="str">
        <f ca="1">IF(ROWS($1:39)&gt;COUNT(Dong1),"",IF(OFFSET(TH!L$1,SMALL(Dong1,ROWS($1:39)),)="1111",OFFSET(TH!D$1,SMALL(Dong1,ROWS($1:39)),),""))</f>
        <v>T12</v>
      </c>
      <c r="D52" s="84" t="str">
        <f ca="1">IF(ROWS($1:39)&gt;COUNT(Dong1),"",IF(OFFSET(TH!M$1,SMALL(Dong1,ROWS($1:39)),)="1111",OFFSET(TH!D$1,SMALL(Dong1,ROWS($1:39)),),""))</f>
        <v/>
      </c>
      <c r="E52" s="128" t="str">
        <f ca="1">IF(ROWS($1:39)&gt;COUNT(Dong1),"",OFFSET(TH!F$1,SMALL(Dong1,ROWS($1:39)),))</f>
        <v>Rút tiền mặt</v>
      </c>
      <c r="F52" s="86" t="str">
        <f ca="1">IF(ROWS($1:39)&gt;COUNT(Dong1),"",IF(OFFSET(TH!M$1,SMALL(Dong1,ROWS($1:39)),)="1111",OFFSET(TH!L$1,SMALL(Dong1,ROWS($1:39)),),OFFSET(TH!M$1,SMALL(Dong1,ROWS($1:39)),)))</f>
        <v>1121</v>
      </c>
      <c r="G52" s="87">
        <f ca="1">IF(ROWS($1:39)&gt;COUNT(Dong1),"",IF(OFFSET(TH!L$1,SMALL(Dong1,ROWS($1:39)),)="1111",OFFSET(TH!K$1,SMALL(Dong1,ROWS($1:39)),),0))</f>
        <v>10000000</v>
      </c>
      <c r="H52" s="85">
        <f ca="1">IF(ROWS($1:39)&gt;COUNT(Dong1),"",IF(OFFSET(TH!M$1,SMALL(Dong1,ROWS($1:39)),)="1111",OFFSET(TH!K$1,SMALL(Dong1,ROWS($1:39)),),0))</f>
        <v>0</v>
      </c>
      <c r="I52" s="83">
        <f t="shared" ca="1" si="0"/>
        <v>1648388750</v>
      </c>
      <c r="J52" s="88"/>
    </row>
    <row r="53" spans="1:15" ht="21.75" customHeight="1">
      <c r="A53" s="82">
        <f ca="1">IF(ROWS($1:40)&gt;COUNT(Dong1),"",OFFSET(TH!C$1,SMALL(Dong1,ROWS($1:40)),))</f>
        <v>42692</v>
      </c>
      <c r="B53" s="82">
        <f ca="1">IF(ROWS($1:40)&gt;COUNT(Dong1),"",OFFSET(TH!E$1,SMALL(Dong1,ROWS($1:40)),))</f>
        <v>42692</v>
      </c>
      <c r="C53" s="83" t="str">
        <f ca="1">IF(ROWS($1:40)&gt;COUNT(Dong1),"",IF(OFFSET(TH!L$1,SMALL(Dong1,ROWS($1:40)),)="1111",OFFSET(TH!D$1,SMALL(Dong1,ROWS($1:40)),),""))</f>
        <v>T13</v>
      </c>
      <c r="D53" s="84" t="str">
        <f ca="1">IF(ROWS($1:40)&gt;COUNT(Dong1),"",IF(OFFSET(TH!M$1,SMALL(Dong1,ROWS($1:40)),)="1111",OFFSET(TH!D$1,SMALL(Dong1,ROWS($1:40)),),""))</f>
        <v/>
      </c>
      <c r="E53" s="128" t="str">
        <f ca="1">IF(ROWS($1:40)&gt;COUNT(Dong1),"",OFFSET(TH!F$1,SMALL(Dong1,ROWS($1:40)),))</f>
        <v>Rút tiền mặt</v>
      </c>
      <c r="F53" s="86" t="str">
        <f ca="1">IF(ROWS($1:40)&gt;COUNT(Dong1),"",IF(OFFSET(TH!M$1,SMALL(Dong1,ROWS($1:40)),)="1111",OFFSET(TH!L$1,SMALL(Dong1,ROWS($1:40)),),OFFSET(TH!M$1,SMALL(Dong1,ROWS($1:40)),)))</f>
        <v>1121</v>
      </c>
      <c r="G53" s="87">
        <f ca="1">IF(ROWS($1:40)&gt;COUNT(Dong1),"",IF(OFFSET(TH!L$1,SMALL(Dong1,ROWS($1:40)),)="1111",OFFSET(TH!K$1,SMALL(Dong1,ROWS($1:40)),),0))</f>
        <v>54300000</v>
      </c>
      <c r="H53" s="85">
        <f ca="1">IF(ROWS($1:40)&gt;COUNT(Dong1),"",IF(OFFSET(TH!M$1,SMALL(Dong1,ROWS($1:40)),)="1111",OFFSET(TH!K$1,SMALL(Dong1,ROWS($1:40)),),0))</f>
        <v>0</v>
      </c>
      <c r="I53" s="83">
        <f t="shared" ca="1" si="0"/>
        <v>1702688750</v>
      </c>
      <c r="J53" s="88"/>
    </row>
    <row r="54" spans="1:15" ht="21.75" customHeight="1">
      <c r="A54" s="82">
        <f ca="1">IF(ROWS($1:41)&gt;COUNT(Dong1),"",OFFSET(TH!C$1,SMALL(Dong1,ROWS($1:41)),))</f>
        <v>42693</v>
      </c>
      <c r="B54" s="82">
        <f ca="1">IF(ROWS($1:41)&gt;COUNT(Dong1),"",OFFSET(TH!E$1,SMALL(Dong1,ROWS($1:41)),))</f>
        <v>42693</v>
      </c>
      <c r="C54" s="83" t="str">
        <f ca="1">IF(ROWS($1:41)&gt;COUNT(Dong1),"",IF(OFFSET(TH!L$1,SMALL(Dong1,ROWS($1:41)),)="1111",OFFSET(TH!D$1,SMALL(Dong1,ROWS($1:41)),),""))</f>
        <v/>
      </c>
      <c r="D54" s="84" t="str">
        <f ca="1">IF(ROWS($1:41)&gt;COUNT(Dong1),"",IF(OFFSET(TH!M$1,SMALL(Dong1,ROWS($1:41)),)="1111",OFFSET(TH!D$1,SMALL(Dong1,ROWS($1:41)),),""))</f>
        <v>C19</v>
      </c>
      <c r="E54" s="128" t="str">
        <f ca="1">IF(ROWS($1:41)&gt;COUNT(Dong1),"",OFFSET(TH!F$1,SMALL(Dong1,ROWS($1:41)),))</f>
        <v>Chi phí tiếp khách</v>
      </c>
      <c r="F54" s="86" t="str">
        <f ca="1">IF(ROWS($1:41)&gt;COUNT(Dong1),"",IF(OFFSET(TH!M$1,SMALL(Dong1,ROWS($1:41)),)="1111",OFFSET(TH!L$1,SMALL(Dong1,ROWS($1:41)),),OFFSET(TH!M$1,SMALL(Dong1,ROWS($1:41)),)))</f>
        <v>642</v>
      </c>
      <c r="G54" s="87">
        <f ca="1">IF(ROWS($1:41)&gt;COUNT(Dong1),"",IF(OFFSET(TH!L$1,SMALL(Dong1,ROWS($1:41)),)="1111",OFFSET(TH!K$1,SMALL(Dong1,ROWS($1:41)),),0))</f>
        <v>0</v>
      </c>
      <c r="H54" s="85">
        <f ca="1">IF(ROWS($1:41)&gt;COUNT(Dong1),"",IF(OFFSET(TH!M$1,SMALL(Dong1,ROWS($1:41)),)="1111",OFFSET(TH!K$1,SMALL(Dong1,ROWS($1:41)),),0))</f>
        <v>843000</v>
      </c>
      <c r="I54" s="83">
        <f t="shared" ca="1" si="0"/>
        <v>1701845750</v>
      </c>
      <c r="J54" s="88"/>
    </row>
    <row r="55" spans="1:15" ht="21.75" customHeight="1">
      <c r="A55" s="82">
        <f ca="1">IF(ROWS($1:42)&gt;COUNT(Dong1),"",OFFSET(TH!C$1,SMALL(Dong1,ROWS($1:42)),))</f>
        <v>42693</v>
      </c>
      <c r="B55" s="82">
        <f ca="1">IF(ROWS($1:42)&gt;COUNT(Dong1),"",OFFSET(TH!E$1,SMALL(Dong1,ROWS($1:42)),))</f>
        <v>42693</v>
      </c>
      <c r="C55" s="83" t="str">
        <f ca="1">IF(ROWS($1:42)&gt;COUNT(Dong1),"",IF(OFFSET(TH!L$1,SMALL(Dong1,ROWS($1:42)),)="1111",OFFSET(TH!D$1,SMALL(Dong1,ROWS($1:42)),),""))</f>
        <v/>
      </c>
      <c r="D55" s="84" t="str">
        <f ca="1">IF(ROWS($1:42)&gt;COUNT(Dong1),"",IF(OFFSET(TH!M$1,SMALL(Dong1,ROWS($1:42)),)="1111",OFFSET(TH!D$1,SMALL(Dong1,ROWS($1:42)),),""))</f>
        <v>C19</v>
      </c>
      <c r="E55" s="128" t="str">
        <f ca="1">IF(ROWS($1:42)&gt;COUNT(Dong1),"",OFFSET(TH!F$1,SMALL(Dong1,ROWS($1:42)),))</f>
        <v>VAT Chi phí tiếp khách</v>
      </c>
      <c r="F55" s="86" t="str">
        <f ca="1">IF(ROWS($1:42)&gt;COUNT(Dong1),"",IF(OFFSET(TH!M$1,SMALL(Dong1,ROWS($1:42)),)="1111",OFFSET(TH!L$1,SMALL(Dong1,ROWS($1:42)),),OFFSET(TH!M$1,SMALL(Dong1,ROWS($1:42)),)))</f>
        <v>1331</v>
      </c>
      <c r="G55" s="87">
        <f ca="1">IF(ROWS($1:42)&gt;COUNT(Dong1),"",IF(OFFSET(TH!L$1,SMALL(Dong1,ROWS($1:42)),)="1111",OFFSET(TH!K$1,SMALL(Dong1,ROWS($1:42)),),0))</f>
        <v>0</v>
      </c>
      <c r="H55" s="85">
        <f ca="1">IF(ROWS($1:42)&gt;COUNT(Dong1),"",IF(OFFSET(TH!M$1,SMALL(Dong1,ROWS($1:42)),)="1111",OFFSET(TH!K$1,SMALL(Dong1,ROWS($1:42)),),0))</f>
        <v>84300</v>
      </c>
      <c r="I55" s="83">
        <f t="shared" ca="1" si="0"/>
        <v>1701761450</v>
      </c>
      <c r="J55" s="88"/>
    </row>
    <row r="56" spans="1:15" ht="21.75" customHeight="1">
      <c r="A56" s="82">
        <f ca="1">IF(ROWS($1:43)&gt;COUNT(Dong1),"",OFFSET(TH!C$1,SMALL(Dong1,ROWS($1:43)),))</f>
        <v>42693</v>
      </c>
      <c r="B56" s="82">
        <f ca="1">IF(ROWS($1:43)&gt;COUNT(Dong1),"",OFFSET(TH!E$1,SMALL(Dong1,ROWS($1:43)),))</f>
        <v>42693</v>
      </c>
      <c r="C56" s="83" t="str">
        <f ca="1">IF(ROWS($1:43)&gt;COUNT(Dong1),"",IF(OFFSET(TH!L$1,SMALL(Dong1,ROWS($1:43)),)="1111",OFFSET(TH!D$1,SMALL(Dong1,ROWS($1:43)),),""))</f>
        <v>T14</v>
      </c>
      <c r="D56" s="84" t="str">
        <f ca="1">IF(ROWS($1:43)&gt;COUNT(Dong1),"",IF(OFFSET(TH!M$1,SMALL(Dong1,ROWS($1:43)),)="1111",OFFSET(TH!D$1,SMALL(Dong1,ROWS($1:43)),),""))</f>
        <v/>
      </c>
      <c r="E56" s="128" t="str">
        <f ca="1">IF(ROWS($1:43)&gt;COUNT(Dong1),"",OFFSET(TH!F$1,SMALL(Dong1,ROWS($1:43)),))</f>
        <v>Thu tiền hàng</v>
      </c>
      <c r="F56" s="86" t="str">
        <f ca="1">IF(ROWS($1:43)&gt;COUNT(Dong1),"",IF(OFFSET(TH!M$1,SMALL(Dong1,ROWS($1:43)),)="1111",OFFSET(TH!L$1,SMALL(Dong1,ROWS($1:43)),),OFFSET(TH!M$1,SMALL(Dong1,ROWS($1:43)),)))</f>
        <v>131</v>
      </c>
      <c r="G56" s="87">
        <f ca="1">IF(ROWS($1:43)&gt;COUNT(Dong1),"",IF(OFFSET(TH!L$1,SMALL(Dong1,ROWS($1:43)),)="1111",OFFSET(TH!K$1,SMALL(Dong1,ROWS($1:43)),),0))</f>
        <v>9054493</v>
      </c>
      <c r="H56" s="85">
        <f ca="1">IF(ROWS($1:43)&gt;COUNT(Dong1),"",IF(OFFSET(TH!M$1,SMALL(Dong1,ROWS($1:43)),)="1111",OFFSET(TH!K$1,SMALL(Dong1,ROWS($1:43)),),0))</f>
        <v>0</v>
      </c>
      <c r="I56" s="83">
        <f t="shared" ca="1" si="0"/>
        <v>1710815943</v>
      </c>
      <c r="J56" s="88"/>
    </row>
    <row r="57" spans="1:15" ht="21.75" customHeight="1">
      <c r="A57" s="82">
        <f ca="1">IF(ROWS($1:44)&gt;COUNT(Dong1),"",OFFSET(TH!C$1,SMALL(Dong1,ROWS($1:44)),))</f>
        <v>42693</v>
      </c>
      <c r="B57" s="82">
        <f ca="1">IF(ROWS($1:44)&gt;COUNT(Dong1),"",OFFSET(TH!E$1,SMALL(Dong1,ROWS($1:44)),))</f>
        <v>42693</v>
      </c>
      <c r="C57" s="83" t="str">
        <f ca="1">IF(ROWS($1:44)&gt;COUNT(Dong1),"",IF(OFFSET(TH!L$1,SMALL(Dong1,ROWS($1:44)),)="1111",OFFSET(TH!D$1,SMALL(Dong1,ROWS($1:44)),),""))</f>
        <v>T15</v>
      </c>
      <c r="D57" s="84" t="str">
        <f ca="1">IF(ROWS($1:44)&gt;COUNT(Dong1),"",IF(OFFSET(TH!M$1,SMALL(Dong1,ROWS($1:44)),)="1111",OFFSET(TH!D$1,SMALL(Dong1,ROWS($1:44)),),""))</f>
        <v/>
      </c>
      <c r="E57" s="128" t="str">
        <f ca="1">IF(ROWS($1:44)&gt;COUNT(Dong1),"",OFFSET(TH!F$1,SMALL(Dong1,ROWS($1:44)),))</f>
        <v>Thu tiền hàng</v>
      </c>
      <c r="F57" s="86" t="str">
        <f ca="1">IF(ROWS($1:44)&gt;COUNT(Dong1),"",IF(OFFSET(TH!M$1,SMALL(Dong1,ROWS($1:44)),)="1111",OFFSET(TH!L$1,SMALL(Dong1,ROWS($1:44)),),OFFSET(TH!M$1,SMALL(Dong1,ROWS($1:44)),)))</f>
        <v>131</v>
      </c>
      <c r="G57" s="87">
        <f ca="1">IF(ROWS($1:44)&gt;COUNT(Dong1),"",IF(OFFSET(TH!L$1,SMALL(Dong1,ROWS($1:44)),)="1111",OFFSET(TH!K$1,SMALL(Dong1,ROWS($1:44)),),0))</f>
        <v>19800000</v>
      </c>
      <c r="H57" s="85">
        <f ca="1">IF(ROWS($1:44)&gt;COUNT(Dong1),"",IF(OFFSET(TH!M$1,SMALL(Dong1,ROWS($1:44)),)="1111",OFFSET(TH!K$1,SMALL(Dong1,ROWS($1:44)),),0))</f>
        <v>0</v>
      </c>
      <c r="I57" s="83">
        <f t="shared" ref="I57:I78" ca="1" si="1">IF(E57&lt;&gt;"",I56+G57-H57,0)</f>
        <v>1730615943</v>
      </c>
      <c r="J57" s="88"/>
    </row>
    <row r="58" spans="1:15" ht="21.75" customHeight="1">
      <c r="A58" s="82">
        <f ca="1">IF(ROWS($1:45)&gt;COUNT(Dong1),"",OFFSET(TH!C$1,SMALL(Dong1,ROWS($1:45)),))</f>
        <v>42694</v>
      </c>
      <c r="B58" s="82">
        <f ca="1">IF(ROWS($1:45)&gt;COUNT(Dong1),"",OFFSET(TH!E$1,SMALL(Dong1,ROWS($1:45)),))</f>
        <v>42694</v>
      </c>
      <c r="C58" s="83" t="str">
        <f ca="1">IF(ROWS($1:45)&gt;COUNT(Dong1),"",IF(OFFSET(TH!L$1,SMALL(Dong1,ROWS($1:45)),)="1111",OFFSET(TH!D$1,SMALL(Dong1,ROWS($1:45)),),""))</f>
        <v>T16</v>
      </c>
      <c r="D58" s="84" t="str">
        <f ca="1">IF(ROWS($1:45)&gt;COUNT(Dong1),"",IF(OFFSET(TH!M$1,SMALL(Dong1,ROWS($1:45)),)="1111",OFFSET(TH!D$1,SMALL(Dong1,ROWS($1:45)),),""))</f>
        <v/>
      </c>
      <c r="E58" s="128" t="str">
        <f ca="1">IF(ROWS($1:45)&gt;COUNT(Dong1),"",OFFSET(TH!F$1,SMALL(Dong1,ROWS($1:45)),))</f>
        <v>Thu tiền hàng</v>
      </c>
      <c r="F58" s="86" t="str">
        <f ca="1">IF(ROWS($1:45)&gt;COUNT(Dong1),"",IF(OFFSET(TH!M$1,SMALL(Dong1,ROWS($1:45)),)="1111",OFFSET(TH!L$1,SMALL(Dong1,ROWS($1:45)),),OFFSET(TH!M$1,SMALL(Dong1,ROWS($1:45)),)))</f>
        <v>131</v>
      </c>
      <c r="G58" s="87">
        <f ca="1">IF(ROWS($1:45)&gt;COUNT(Dong1),"",IF(OFFSET(TH!L$1,SMALL(Dong1,ROWS($1:45)),)="1111",OFFSET(TH!K$1,SMALL(Dong1,ROWS($1:45)),),0))</f>
        <v>15123108</v>
      </c>
      <c r="H58" s="85">
        <f ca="1">IF(ROWS($1:45)&gt;COUNT(Dong1),"",IF(OFFSET(TH!M$1,SMALL(Dong1,ROWS($1:45)),)="1111",OFFSET(TH!K$1,SMALL(Dong1,ROWS($1:45)),),0))</f>
        <v>0</v>
      </c>
      <c r="I58" s="83">
        <f t="shared" ca="1" si="1"/>
        <v>1745739051</v>
      </c>
      <c r="J58" s="88"/>
    </row>
    <row r="59" spans="1:15" ht="21.75" customHeight="1">
      <c r="A59" s="82">
        <f ca="1">IF(ROWS($1:46)&gt;COUNT(Dong1),"",OFFSET(TH!C$1,SMALL(Dong1,ROWS($1:46)),))</f>
        <v>42697</v>
      </c>
      <c r="B59" s="82">
        <f ca="1">IF(ROWS($1:46)&gt;COUNT(Dong1),"",OFFSET(TH!E$1,SMALL(Dong1,ROWS($1:46)),))</f>
        <v>42697</v>
      </c>
      <c r="C59" s="83" t="str">
        <f ca="1">IF(ROWS($1:46)&gt;COUNT(Dong1),"",IF(OFFSET(TH!L$1,SMALL(Dong1,ROWS($1:46)),)="1111",OFFSET(TH!D$1,SMALL(Dong1,ROWS($1:46)),),""))</f>
        <v>T17</v>
      </c>
      <c r="D59" s="84" t="str">
        <f ca="1">IF(ROWS($1:46)&gt;COUNT(Dong1),"",IF(OFFSET(TH!M$1,SMALL(Dong1,ROWS($1:46)),)="1111",OFFSET(TH!D$1,SMALL(Dong1,ROWS($1:46)),),""))</f>
        <v/>
      </c>
      <c r="E59" s="128" t="str">
        <f ca="1">IF(ROWS($1:46)&gt;COUNT(Dong1),"",OFFSET(TH!F$1,SMALL(Dong1,ROWS($1:46)),))</f>
        <v>Thu tiền hàng</v>
      </c>
      <c r="F59" s="86" t="str">
        <f ca="1">IF(ROWS($1:46)&gt;COUNT(Dong1),"",IF(OFFSET(TH!M$1,SMALL(Dong1,ROWS($1:46)),)="1111",OFFSET(TH!L$1,SMALL(Dong1,ROWS($1:46)),),OFFSET(TH!M$1,SMALL(Dong1,ROWS($1:46)),)))</f>
        <v>131</v>
      </c>
      <c r="G59" s="87">
        <f ca="1">IF(ROWS($1:46)&gt;COUNT(Dong1),"",IF(OFFSET(TH!L$1,SMALL(Dong1,ROWS($1:46)),)="1111",OFFSET(TH!K$1,SMALL(Dong1,ROWS($1:46)),),0))</f>
        <v>16597350</v>
      </c>
      <c r="H59" s="85">
        <f ca="1">IF(ROWS($1:46)&gt;COUNT(Dong1),"",IF(OFFSET(TH!M$1,SMALL(Dong1,ROWS($1:46)),)="1111",OFFSET(TH!K$1,SMALL(Dong1,ROWS($1:46)),),0))</f>
        <v>0</v>
      </c>
      <c r="I59" s="83">
        <f t="shared" ca="1" si="1"/>
        <v>1762336401</v>
      </c>
      <c r="J59" s="88"/>
    </row>
    <row r="60" spans="1:15" ht="21.75" customHeight="1">
      <c r="A60" s="82">
        <f ca="1">IF(ROWS($1:47)&gt;COUNT(Dong1),"",OFFSET(TH!C$1,SMALL(Dong1,ROWS($1:47)),))</f>
        <v>42698</v>
      </c>
      <c r="B60" s="82">
        <f ca="1">IF(ROWS($1:47)&gt;COUNT(Dong1),"",OFFSET(TH!E$1,SMALL(Dong1,ROWS($1:47)),))</f>
        <v>42698</v>
      </c>
      <c r="C60" s="83" t="str">
        <f ca="1">IF(ROWS($1:47)&gt;COUNT(Dong1),"",IF(OFFSET(TH!L$1,SMALL(Dong1,ROWS($1:47)),)="1111",OFFSET(TH!D$1,SMALL(Dong1,ROWS($1:47)),),""))</f>
        <v/>
      </c>
      <c r="D60" s="84" t="str">
        <f ca="1">IF(ROWS($1:47)&gt;COUNT(Dong1),"",IF(OFFSET(TH!M$1,SMALL(Dong1,ROWS($1:47)),)="1111",OFFSET(TH!D$1,SMALL(Dong1,ROWS($1:47)),),""))</f>
        <v>C20</v>
      </c>
      <c r="E60" s="128" t="str">
        <f ca="1">IF(ROWS($1:47)&gt;COUNT(Dong1),"",OFFSET(TH!F$1,SMALL(Dong1,ROWS($1:47)),))</f>
        <v>Văn phòng phẩm</v>
      </c>
      <c r="F60" s="86" t="str">
        <f ca="1">IF(ROWS($1:47)&gt;COUNT(Dong1),"",IF(OFFSET(TH!M$1,SMALL(Dong1,ROWS($1:47)),)="1111",OFFSET(TH!L$1,SMALL(Dong1,ROWS($1:47)),),OFFSET(TH!M$1,SMALL(Dong1,ROWS($1:47)),)))</f>
        <v>642</v>
      </c>
      <c r="G60" s="87">
        <f ca="1">IF(ROWS($1:47)&gt;COUNT(Dong1),"",IF(OFFSET(TH!L$1,SMALL(Dong1,ROWS($1:47)),)="1111",OFFSET(TH!K$1,SMALL(Dong1,ROWS($1:47)),),0))</f>
        <v>0</v>
      </c>
      <c r="H60" s="85">
        <f ca="1">IF(ROWS($1:47)&gt;COUNT(Dong1),"",IF(OFFSET(TH!M$1,SMALL(Dong1,ROWS($1:47)),)="1111",OFFSET(TH!K$1,SMALL(Dong1,ROWS($1:47)),),0))</f>
        <v>1548100</v>
      </c>
      <c r="I60" s="83">
        <f t="shared" ca="1" si="1"/>
        <v>1760788301</v>
      </c>
      <c r="J60" s="88"/>
    </row>
    <row r="61" spans="1:15" ht="21.75" customHeight="1">
      <c r="A61" s="82">
        <f ca="1">IF(ROWS($1:48)&gt;COUNT(Dong1),"",OFFSET(TH!C$1,SMALL(Dong1,ROWS($1:48)),))</f>
        <v>42698</v>
      </c>
      <c r="B61" s="82">
        <f ca="1">IF(ROWS($1:48)&gt;COUNT(Dong1),"",OFFSET(TH!E$1,SMALL(Dong1,ROWS($1:48)),))</f>
        <v>42698</v>
      </c>
      <c r="C61" s="83" t="str">
        <f ca="1">IF(ROWS($1:48)&gt;COUNT(Dong1),"",IF(OFFSET(TH!L$1,SMALL(Dong1,ROWS($1:48)),)="1111",OFFSET(TH!D$1,SMALL(Dong1,ROWS($1:48)),),""))</f>
        <v/>
      </c>
      <c r="D61" s="84" t="str">
        <f ca="1">IF(ROWS($1:48)&gt;COUNT(Dong1),"",IF(OFFSET(TH!M$1,SMALL(Dong1,ROWS($1:48)),)="1111",OFFSET(TH!D$1,SMALL(Dong1,ROWS($1:48)),),""))</f>
        <v>C20</v>
      </c>
      <c r="E61" s="128" t="str">
        <f ca="1">IF(ROWS($1:48)&gt;COUNT(Dong1),"",OFFSET(TH!F$1,SMALL(Dong1,ROWS($1:48)),))</f>
        <v>VAT Văn phòng phẩm</v>
      </c>
      <c r="F61" s="86" t="str">
        <f ca="1">IF(ROWS($1:48)&gt;COUNT(Dong1),"",IF(OFFSET(TH!M$1,SMALL(Dong1,ROWS($1:48)),)="1111",OFFSET(TH!L$1,SMALL(Dong1,ROWS($1:48)),),OFFSET(TH!M$1,SMALL(Dong1,ROWS($1:48)),)))</f>
        <v>1331</v>
      </c>
      <c r="G61" s="87">
        <f ca="1">IF(ROWS($1:48)&gt;COUNT(Dong1),"",IF(OFFSET(TH!L$1,SMALL(Dong1,ROWS($1:48)),)="1111",OFFSET(TH!K$1,SMALL(Dong1,ROWS($1:48)),),0))</f>
        <v>0</v>
      </c>
      <c r="H61" s="85">
        <f ca="1">IF(ROWS($1:48)&gt;COUNT(Dong1),"",IF(OFFSET(TH!M$1,SMALL(Dong1,ROWS($1:48)),)="1111",OFFSET(TH!K$1,SMALL(Dong1,ROWS($1:48)),),0))</f>
        <v>154810</v>
      </c>
      <c r="I61" s="83">
        <f t="shared" ca="1" si="1"/>
        <v>1760633491</v>
      </c>
      <c r="J61" s="88"/>
    </row>
    <row r="62" spans="1:15" ht="21.75" customHeight="1">
      <c r="A62" s="82">
        <f ca="1">IF(ROWS($1:49)&gt;COUNT(Dong1),"",OFFSET(TH!C$1,SMALL(Dong1,ROWS($1:49)),))</f>
        <v>42698</v>
      </c>
      <c r="B62" s="82">
        <f ca="1">IF(ROWS($1:49)&gt;COUNT(Dong1),"",OFFSET(TH!E$1,SMALL(Dong1,ROWS($1:49)),))</f>
        <v>42698</v>
      </c>
      <c r="C62" s="83" t="str">
        <f ca="1">IF(ROWS($1:49)&gt;COUNT(Dong1),"",IF(OFFSET(TH!L$1,SMALL(Dong1,ROWS($1:49)),)="1111",OFFSET(TH!D$1,SMALL(Dong1,ROWS($1:49)),),""))</f>
        <v/>
      </c>
      <c r="D62" s="84" t="str">
        <f ca="1">IF(ROWS($1:49)&gt;COUNT(Dong1),"",IF(OFFSET(TH!M$1,SMALL(Dong1,ROWS($1:49)),)="1111",OFFSET(TH!D$1,SMALL(Dong1,ROWS($1:49)),),""))</f>
        <v>C21</v>
      </c>
      <c r="E62" s="128" t="str">
        <f ca="1">IF(ROWS($1:49)&gt;COUNT(Dong1),"",OFFSET(TH!F$1,SMALL(Dong1,ROWS($1:49)),))</f>
        <v>Thanh toán tiền hàng</v>
      </c>
      <c r="F62" s="86" t="str">
        <f ca="1">IF(ROWS($1:49)&gt;COUNT(Dong1),"",IF(OFFSET(TH!M$1,SMALL(Dong1,ROWS($1:49)),)="1111",OFFSET(TH!L$1,SMALL(Dong1,ROWS($1:49)),),OFFSET(TH!M$1,SMALL(Dong1,ROWS($1:49)),)))</f>
        <v>331</v>
      </c>
      <c r="G62" s="87">
        <f ca="1">IF(ROWS($1:49)&gt;COUNT(Dong1),"",IF(OFFSET(TH!L$1,SMALL(Dong1,ROWS($1:49)),)="1111",OFFSET(TH!K$1,SMALL(Dong1,ROWS($1:49)),),0))</f>
        <v>0</v>
      </c>
      <c r="H62" s="85">
        <f ca="1">IF(ROWS($1:49)&gt;COUNT(Dong1),"",IF(OFFSET(TH!M$1,SMALL(Dong1,ROWS($1:49)),)="1111",OFFSET(TH!K$1,SMALL(Dong1,ROWS($1:49)),),0))</f>
        <v>15004000</v>
      </c>
      <c r="I62" s="83">
        <f t="shared" ca="1" si="1"/>
        <v>1745629491</v>
      </c>
      <c r="J62" s="88"/>
    </row>
    <row r="63" spans="1:15" ht="21.75" customHeight="1">
      <c r="A63" s="82">
        <f ca="1">IF(ROWS($1:50)&gt;COUNT(Dong1),"",OFFSET(TH!C$1,SMALL(Dong1,ROWS($1:50)),))</f>
        <v>42699</v>
      </c>
      <c r="B63" s="82">
        <f ca="1">IF(ROWS($1:50)&gt;COUNT(Dong1),"",OFFSET(TH!E$1,SMALL(Dong1,ROWS($1:50)),))</f>
        <v>42699</v>
      </c>
      <c r="C63" s="83" t="str">
        <f ca="1">IF(ROWS($1:50)&gt;COUNT(Dong1),"",IF(OFFSET(TH!L$1,SMALL(Dong1,ROWS($1:50)),)="1111",OFFSET(TH!D$1,SMALL(Dong1,ROWS($1:50)),),""))</f>
        <v>T18</v>
      </c>
      <c r="D63" s="84" t="str">
        <f ca="1">IF(ROWS($1:50)&gt;COUNT(Dong1),"",IF(OFFSET(TH!M$1,SMALL(Dong1,ROWS($1:50)),)="1111",OFFSET(TH!D$1,SMALL(Dong1,ROWS($1:50)),),""))</f>
        <v/>
      </c>
      <c r="E63" s="128" t="str">
        <f ca="1">IF(ROWS($1:50)&gt;COUNT(Dong1),"",OFFSET(TH!F$1,SMALL(Dong1,ROWS($1:50)),))</f>
        <v>Rút tiền mặt</v>
      </c>
      <c r="F63" s="86" t="str">
        <f ca="1">IF(ROWS($1:50)&gt;COUNT(Dong1),"",IF(OFFSET(TH!M$1,SMALL(Dong1,ROWS($1:50)),)="1111",OFFSET(TH!L$1,SMALL(Dong1,ROWS($1:50)),),OFFSET(TH!M$1,SMALL(Dong1,ROWS($1:50)),)))</f>
        <v>1121</v>
      </c>
      <c r="G63" s="87">
        <f ca="1">IF(ROWS($1:50)&gt;COUNT(Dong1),"",IF(OFFSET(TH!L$1,SMALL(Dong1,ROWS($1:50)),)="1111",OFFSET(TH!K$1,SMALL(Dong1,ROWS($1:50)),),0))</f>
        <v>20000000</v>
      </c>
      <c r="H63" s="85">
        <f ca="1">IF(ROWS($1:50)&gt;COUNT(Dong1),"",IF(OFFSET(TH!M$1,SMALL(Dong1,ROWS($1:50)),)="1111",OFFSET(TH!K$1,SMALL(Dong1,ROWS($1:50)),),0))</f>
        <v>0</v>
      </c>
      <c r="I63" s="83">
        <f t="shared" ca="1" si="1"/>
        <v>1765629491</v>
      </c>
      <c r="J63" s="88"/>
    </row>
    <row r="64" spans="1:15" ht="21.75" customHeight="1">
      <c r="A64" s="82">
        <f ca="1">IF(ROWS($1:51)&gt;COUNT(Dong1),"",OFFSET(TH!C$1,SMALL(Dong1,ROWS($1:51)),))</f>
        <v>42703</v>
      </c>
      <c r="B64" s="82">
        <f ca="1">IF(ROWS($1:51)&gt;COUNT(Dong1),"",OFFSET(TH!E$1,SMALL(Dong1,ROWS($1:51)),))</f>
        <v>42703</v>
      </c>
      <c r="C64" s="83" t="str">
        <f ca="1">IF(ROWS($1:51)&gt;COUNT(Dong1),"",IF(OFFSET(TH!L$1,SMALL(Dong1,ROWS($1:51)),)="1111",OFFSET(TH!D$1,SMALL(Dong1,ROWS($1:51)),),""))</f>
        <v>T19</v>
      </c>
      <c r="D64" s="84" t="str">
        <f ca="1">IF(ROWS($1:51)&gt;COUNT(Dong1),"",IF(OFFSET(TH!M$1,SMALL(Dong1,ROWS($1:51)),)="1111",OFFSET(TH!D$1,SMALL(Dong1,ROWS($1:51)),),""))</f>
        <v/>
      </c>
      <c r="E64" s="128" t="str">
        <f ca="1">IF(ROWS($1:51)&gt;COUNT(Dong1),"",OFFSET(TH!F$1,SMALL(Dong1,ROWS($1:51)),))</f>
        <v>Rút tiền mặt</v>
      </c>
      <c r="F64" s="86" t="str">
        <f ca="1">IF(ROWS($1:51)&gt;COUNT(Dong1),"",IF(OFFSET(TH!M$1,SMALL(Dong1,ROWS($1:51)),)="1111",OFFSET(TH!L$1,SMALL(Dong1,ROWS($1:51)),),OFFSET(TH!M$1,SMALL(Dong1,ROWS($1:51)),)))</f>
        <v>1121</v>
      </c>
      <c r="G64" s="87">
        <f ca="1">IF(ROWS($1:51)&gt;COUNT(Dong1),"",IF(OFFSET(TH!L$1,SMALL(Dong1,ROWS($1:51)),)="1111",OFFSET(TH!K$1,SMALL(Dong1,ROWS($1:51)),),0))</f>
        <v>22500000</v>
      </c>
      <c r="H64" s="85">
        <f ca="1">IF(ROWS($1:51)&gt;COUNT(Dong1),"",IF(OFFSET(TH!M$1,SMALL(Dong1,ROWS($1:51)),)="1111",OFFSET(TH!K$1,SMALL(Dong1,ROWS($1:51)),),0))</f>
        <v>0</v>
      </c>
      <c r="I64" s="83">
        <f t="shared" ca="1" si="1"/>
        <v>1788129491</v>
      </c>
      <c r="J64" s="88"/>
    </row>
    <row r="65" spans="1:10" ht="21.75" customHeight="1">
      <c r="A65" s="82">
        <f ca="1">IF(ROWS($1:52)&gt;COUNT(Dong1),"",OFFSET(TH!C$1,SMALL(Dong1,ROWS($1:52)),))</f>
        <v>42703</v>
      </c>
      <c r="B65" s="82">
        <f ca="1">IF(ROWS($1:52)&gt;COUNT(Dong1),"",OFFSET(TH!E$1,SMALL(Dong1,ROWS($1:52)),))</f>
        <v>42703</v>
      </c>
      <c r="C65" s="83" t="str">
        <f ca="1">IF(ROWS($1:52)&gt;COUNT(Dong1),"",IF(OFFSET(TH!L$1,SMALL(Dong1,ROWS($1:52)),)="1111",OFFSET(TH!D$1,SMALL(Dong1,ROWS($1:52)),),""))</f>
        <v/>
      </c>
      <c r="D65" s="84" t="str">
        <f ca="1">IF(ROWS($1:52)&gt;COUNT(Dong1),"",IF(OFFSET(TH!M$1,SMALL(Dong1,ROWS($1:52)),)="1111",OFFSET(TH!D$1,SMALL(Dong1,ROWS($1:52)),),""))</f>
        <v>C22</v>
      </c>
      <c r="E65" s="128" t="str">
        <f ca="1">IF(ROWS($1:52)&gt;COUNT(Dong1),"",OFFSET(TH!F$1,SMALL(Dong1,ROWS($1:52)),))</f>
        <v>Phí sử dụng đường bộ</v>
      </c>
      <c r="F65" s="86" t="str">
        <f ca="1">IF(ROWS($1:52)&gt;COUNT(Dong1),"",IF(OFFSET(TH!M$1,SMALL(Dong1,ROWS($1:52)),)="1111",OFFSET(TH!L$1,SMALL(Dong1,ROWS($1:52)),),OFFSET(TH!M$1,SMALL(Dong1,ROWS($1:52)),)))</f>
        <v>641</v>
      </c>
      <c r="G65" s="87">
        <f ca="1">IF(ROWS($1:52)&gt;COUNT(Dong1),"",IF(OFFSET(TH!L$1,SMALL(Dong1,ROWS($1:52)),)="1111",OFFSET(TH!K$1,SMALL(Dong1,ROWS($1:52)),),0))</f>
        <v>0</v>
      </c>
      <c r="H65" s="85">
        <f ca="1">IF(ROWS($1:52)&gt;COUNT(Dong1),"",IF(OFFSET(TH!M$1,SMALL(Dong1,ROWS($1:52)),)="1111",OFFSET(TH!K$1,SMALL(Dong1,ROWS($1:52)),),0))</f>
        <v>436364</v>
      </c>
      <c r="I65" s="83">
        <f t="shared" ca="1" si="1"/>
        <v>1787693127</v>
      </c>
      <c r="J65" s="88"/>
    </row>
    <row r="66" spans="1:10" ht="21.75" customHeight="1">
      <c r="A66" s="82">
        <f ca="1">IF(ROWS($1:53)&gt;COUNT(Dong1),"",OFFSET(TH!C$1,SMALL(Dong1,ROWS($1:53)),))</f>
        <v>42703</v>
      </c>
      <c r="B66" s="82">
        <f ca="1">IF(ROWS($1:53)&gt;COUNT(Dong1),"",OFFSET(TH!E$1,SMALL(Dong1,ROWS($1:53)),))</f>
        <v>42703</v>
      </c>
      <c r="C66" s="83" t="str">
        <f ca="1">IF(ROWS($1:53)&gt;COUNT(Dong1),"",IF(OFFSET(TH!L$1,SMALL(Dong1,ROWS($1:53)),)="1111",OFFSET(TH!D$1,SMALL(Dong1,ROWS($1:53)),),""))</f>
        <v/>
      </c>
      <c r="D66" s="84" t="str">
        <f ca="1">IF(ROWS($1:53)&gt;COUNT(Dong1),"",IF(OFFSET(TH!M$1,SMALL(Dong1,ROWS($1:53)),)="1111",OFFSET(TH!D$1,SMALL(Dong1,ROWS($1:53)),),""))</f>
        <v>C22</v>
      </c>
      <c r="E66" s="128" t="str">
        <f ca="1">IF(ROWS($1:53)&gt;COUNT(Dong1),"",OFFSET(TH!F$1,SMALL(Dong1,ROWS($1:53)),))</f>
        <v>VAT Phí sử dụng đường bộ</v>
      </c>
      <c r="F66" s="86" t="str">
        <f ca="1">IF(ROWS($1:53)&gt;COUNT(Dong1),"",IF(OFFSET(TH!M$1,SMALL(Dong1,ROWS($1:53)),)="1111",OFFSET(TH!L$1,SMALL(Dong1,ROWS($1:53)),),OFFSET(TH!M$1,SMALL(Dong1,ROWS($1:53)),)))</f>
        <v>1331</v>
      </c>
      <c r="G66" s="87">
        <f ca="1">IF(ROWS($1:53)&gt;COUNT(Dong1),"",IF(OFFSET(TH!L$1,SMALL(Dong1,ROWS($1:53)),)="1111",OFFSET(TH!K$1,SMALL(Dong1,ROWS($1:53)),),0))</f>
        <v>0</v>
      </c>
      <c r="H66" s="85">
        <f ca="1">IF(ROWS($1:53)&gt;COUNT(Dong1),"",IF(OFFSET(TH!M$1,SMALL(Dong1,ROWS($1:53)),)="1111",OFFSET(TH!K$1,SMALL(Dong1,ROWS($1:53)),),0))</f>
        <v>43636</v>
      </c>
      <c r="I66" s="83">
        <f t="shared" ca="1" si="1"/>
        <v>1787649491</v>
      </c>
      <c r="J66" s="88"/>
    </row>
    <row r="67" spans="1:10" ht="21.75" customHeight="1">
      <c r="A67" s="82">
        <f ca="1">IF(ROWS($1:54)&gt;COUNT(Dong1),"",OFFSET(TH!C$1,SMALL(Dong1,ROWS($1:54)),))</f>
        <v>42703</v>
      </c>
      <c r="B67" s="82">
        <f ca="1">IF(ROWS($1:54)&gt;COUNT(Dong1),"",OFFSET(TH!E$1,SMALL(Dong1,ROWS($1:54)),))</f>
        <v>42703</v>
      </c>
      <c r="C67" s="83" t="str">
        <f ca="1">IF(ROWS($1:54)&gt;COUNT(Dong1),"",IF(OFFSET(TH!L$1,SMALL(Dong1,ROWS($1:54)),)="1111",OFFSET(TH!D$1,SMALL(Dong1,ROWS($1:54)),),""))</f>
        <v>T20</v>
      </c>
      <c r="D67" s="84" t="str">
        <f ca="1">IF(ROWS($1:54)&gt;COUNT(Dong1),"",IF(OFFSET(TH!M$1,SMALL(Dong1,ROWS($1:54)),)="1111",OFFSET(TH!D$1,SMALL(Dong1,ROWS($1:54)),),""))</f>
        <v/>
      </c>
      <c r="E67" s="128" t="str">
        <f ca="1">IF(ROWS($1:54)&gt;COUNT(Dong1),"",OFFSET(TH!F$1,SMALL(Dong1,ROWS($1:54)),))</f>
        <v>Thu tiền hàng</v>
      </c>
      <c r="F67" s="86" t="str">
        <f ca="1">IF(ROWS($1:54)&gt;COUNT(Dong1),"",IF(OFFSET(TH!M$1,SMALL(Dong1,ROWS($1:54)),)="1111",OFFSET(TH!L$1,SMALL(Dong1,ROWS($1:54)),),OFFSET(TH!M$1,SMALL(Dong1,ROWS($1:54)),)))</f>
        <v>131</v>
      </c>
      <c r="G67" s="87">
        <f ca="1">IF(ROWS($1:54)&gt;COUNT(Dong1),"",IF(OFFSET(TH!L$1,SMALL(Dong1,ROWS($1:54)),)="1111",OFFSET(TH!K$1,SMALL(Dong1,ROWS($1:54)),),0))</f>
        <v>6159450</v>
      </c>
      <c r="H67" s="85">
        <f ca="1">IF(ROWS($1:54)&gt;COUNT(Dong1),"",IF(OFFSET(TH!M$1,SMALL(Dong1,ROWS($1:54)),)="1111",OFFSET(TH!K$1,SMALL(Dong1,ROWS($1:54)),),0))</f>
        <v>0</v>
      </c>
      <c r="I67" s="83">
        <f t="shared" ca="1" si="1"/>
        <v>1793808941</v>
      </c>
      <c r="J67" s="88"/>
    </row>
    <row r="68" spans="1:10" ht="21.75" customHeight="1">
      <c r="A68" s="82">
        <f ca="1">IF(ROWS($1:55)&gt;COUNT(Dong1),"",OFFSET(TH!C$1,SMALL(Dong1,ROWS($1:55)),))</f>
        <v>42704</v>
      </c>
      <c r="B68" s="82">
        <f ca="1">IF(ROWS($1:55)&gt;COUNT(Dong1),"",OFFSET(TH!E$1,SMALL(Dong1,ROWS($1:55)),))</f>
        <v>42704</v>
      </c>
      <c r="C68" s="83" t="str">
        <f ca="1">IF(ROWS($1:55)&gt;COUNT(Dong1),"",IF(OFFSET(TH!L$1,SMALL(Dong1,ROWS($1:55)),)="1111",OFFSET(TH!D$1,SMALL(Dong1,ROWS($1:55)),),""))</f>
        <v/>
      </c>
      <c r="D68" s="84" t="str">
        <f ca="1">IF(ROWS($1:55)&gt;COUNT(Dong1),"",IF(OFFSET(TH!M$1,SMALL(Dong1,ROWS($1:55)),)="1111",OFFSET(TH!D$1,SMALL(Dong1,ROWS($1:55)),),""))</f>
        <v>C23</v>
      </c>
      <c r="E68" s="128" t="str">
        <f ca="1">IF(ROWS($1:55)&gt;COUNT(Dong1),"",OFFSET(TH!F$1,SMALL(Dong1,ROWS($1:55)),))</f>
        <v>Thanh toán tiền lương tháng 11/2016</v>
      </c>
      <c r="F68" s="86" t="str">
        <f ca="1">IF(ROWS($1:55)&gt;COUNT(Dong1),"",IF(OFFSET(TH!M$1,SMALL(Dong1,ROWS($1:55)),)="1111",OFFSET(TH!L$1,SMALL(Dong1,ROWS($1:55)),),OFFSET(TH!M$1,SMALL(Dong1,ROWS($1:55)),)))</f>
        <v>3341</v>
      </c>
      <c r="G68" s="87">
        <f ca="1">IF(ROWS($1:55)&gt;COUNT(Dong1),"",IF(OFFSET(TH!L$1,SMALL(Dong1,ROWS($1:55)),)="1111",OFFSET(TH!K$1,SMALL(Dong1,ROWS($1:55)),),0))</f>
        <v>0</v>
      </c>
      <c r="H68" s="85">
        <f ca="1">IF(ROWS($1:55)&gt;COUNT(Dong1),"",IF(OFFSET(TH!M$1,SMALL(Dong1,ROWS($1:55)),)="1111",OFFSET(TH!K$1,SMALL(Dong1,ROWS($1:55)),),0))</f>
        <v>18350000</v>
      </c>
      <c r="I68" s="83">
        <f t="shared" ca="1" si="1"/>
        <v>1775458941</v>
      </c>
      <c r="J68" s="88"/>
    </row>
    <row r="69" spans="1:10" ht="21.75" customHeight="1">
      <c r="A69" s="82">
        <f ca="1">IF(ROWS($1:56)&gt;COUNT(Dong1),"",OFFSET(TH!C$1,SMALL(Dong1,ROWS($1:56)),))</f>
        <v>42705</v>
      </c>
      <c r="B69" s="82">
        <f ca="1">IF(ROWS($1:56)&gt;COUNT(Dong1),"",OFFSET(TH!E$1,SMALL(Dong1,ROWS($1:56)),))</f>
        <v>42705</v>
      </c>
      <c r="C69" s="83" t="str">
        <f ca="1">IF(ROWS($1:56)&gt;COUNT(Dong1),"",IF(OFFSET(TH!L$1,SMALL(Dong1,ROWS($1:56)),)="1111",OFFSET(TH!D$1,SMALL(Dong1,ROWS($1:56)),),""))</f>
        <v>T21</v>
      </c>
      <c r="D69" s="84" t="str">
        <f ca="1">IF(ROWS($1:56)&gt;COUNT(Dong1),"",IF(OFFSET(TH!M$1,SMALL(Dong1,ROWS($1:56)),)="1111",OFFSET(TH!D$1,SMALL(Dong1,ROWS($1:56)),),""))</f>
        <v/>
      </c>
      <c r="E69" s="128" t="str">
        <f ca="1">IF(ROWS($1:56)&gt;COUNT(Dong1),"",OFFSET(TH!F$1,SMALL(Dong1,ROWS($1:56)),))</f>
        <v>Thu tiền hàng</v>
      </c>
      <c r="F69" s="86" t="str">
        <f ca="1">IF(ROWS($1:56)&gt;COUNT(Dong1),"",IF(OFFSET(TH!M$1,SMALL(Dong1,ROWS($1:56)),)="1111",OFFSET(TH!L$1,SMALL(Dong1,ROWS($1:56)),),OFFSET(TH!M$1,SMALL(Dong1,ROWS($1:56)),)))</f>
        <v>131</v>
      </c>
      <c r="G69" s="87">
        <f ca="1">IF(ROWS($1:56)&gt;COUNT(Dong1),"",IF(OFFSET(TH!L$1,SMALL(Dong1,ROWS($1:56)),)="1111",OFFSET(TH!K$1,SMALL(Dong1,ROWS($1:56)),),0))</f>
        <v>19800000</v>
      </c>
      <c r="H69" s="85">
        <f ca="1">IF(ROWS($1:56)&gt;COUNT(Dong1),"",IF(OFFSET(TH!M$1,SMALL(Dong1,ROWS($1:56)),)="1111",OFFSET(TH!K$1,SMALL(Dong1,ROWS($1:56)),),0))</f>
        <v>0</v>
      </c>
      <c r="I69" s="83">
        <f t="shared" ca="1" si="1"/>
        <v>1795258941</v>
      </c>
      <c r="J69" s="88"/>
    </row>
    <row r="70" spans="1:10" ht="21.75" customHeight="1">
      <c r="A70" s="82">
        <f ca="1">IF(ROWS($1:57)&gt;COUNT(Dong1),"",OFFSET(TH!C$1,SMALL(Dong1,ROWS($1:57)),))</f>
        <v>42706</v>
      </c>
      <c r="B70" s="82">
        <f ca="1">IF(ROWS($1:57)&gt;COUNT(Dong1),"",OFFSET(TH!E$1,SMALL(Dong1,ROWS($1:57)),))</f>
        <v>42706</v>
      </c>
      <c r="C70" s="83" t="str">
        <f ca="1">IF(ROWS($1:57)&gt;COUNT(Dong1),"",IF(OFFSET(TH!L$1,SMALL(Dong1,ROWS($1:57)),)="1111",OFFSET(TH!D$1,SMALL(Dong1,ROWS($1:57)),),""))</f>
        <v>T22</v>
      </c>
      <c r="D70" s="84" t="str">
        <f ca="1">IF(ROWS($1:57)&gt;COUNT(Dong1),"",IF(OFFSET(TH!M$1,SMALL(Dong1,ROWS($1:57)),)="1111",OFFSET(TH!D$1,SMALL(Dong1,ROWS($1:57)),),""))</f>
        <v/>
      </c>
      <c r="E70" s="128" t="str">
        <f ca="1">IF(ROWS($1:57)&gt;COUNT(Dong1),"",OFFSET(TH!F$1,SMALL(Dong1,ROWS($1:57)),))</f>
        <v>Thu tiền hàng</v>
      </c>
      <c r="F70" s="86" t="str">
        <f ca="1">IF(ROWS($1:57)&gt;COUNT(Dong1),"",IF(OFFSET(TH!M$1,SMALL(Dong1,ROWS($1:57)),)="1111",OFFSET(TH!L$1,SMALL(Dong1,ROWS($1:57)),),OFFSET(TH!M$1,SMALL(Dong1,ROWS($1:57)),)))</f>
        <v>131</v>
      </c>
      <c r="G70" s="87">
        <f ca="1">IF(ROWS($1:57)&gt;COUNT(Dong1),"",IF(OFFSET(TH!L$1,SMALL(Dong1,ROWS($1:57)),)="1111",OFFSET(TH!K$1,SMALL(Dong1,ROWS($1:57)),),0))</f>
        <v>13200000</v>
      </c>
      <c r="H70" s="85">
        <f ca="1">IF(ROWS($1:57)&gt;COUNT(Dong1),"",IF(OFFSET(TH!M$1,SMALL(Dong1,ROWS($1:57)),)="1111",OFFSET(TH!K$1,SMALL(Dong1,ROWS($1:57)),),0))</f>
        <v>0</v>
      </c>
      <c r="I70" s="83">
        <f t="shared" ca="1" si="1"/>
        <v>1808458941</v>
      </c>
      <c r="J70" s="88"/>
    </row>
    <row r="71" spans="1:10" ht="21.75" customHeight="1">
      <c r="A71" s="82">
        <f ca="1">IF(ROWS($1:58)&gt;COUNT(Dong1),"",OFFSET(TH!C$1,SMALL(Dong1,ROWS($1:58)),))</f>
        <v>42707</v>
      </c>
      <c r="B71" s="82">
        <f ca="1">IF(ROWS($1:58)&gt;COUNT(Dong1),"",OFFSET(TH!E$1,SMALL(Dong1,ROWS($1:58)),))</f>
        <v>42707</v>
      </c>
      <c r="C71" s="83" t="str">
        <f ca="1">IF(ROWS($1:58)&gt;COUNT(Dong1),"",IF(OFFSET(TH!L$1,SMALL(Dong1,ROWS($1:58)),)="1111",OFFSET(TH!D$1,SMALL(Dong1,ROWS($1:58)),),""))</f>
        <v>T23</v>
      </c>
      <c r="D71" s="84" t="str">
        <f ca="1">IF(ROWS($1:58)&gt;COUNT(Dong1),"",IF(OFFSET(TH!M$1,SMALL(Dong1,ROWS($1:58)),)="1111",OFFSET(TH!D$1,SMALL(Dong1,ROWS($1:58)),),""))</f>
        <v/>
      </c>
      <c r="E71" s="128" t="str">
        <f ca="1">IF(ROWS($1:58)&gt;COUNT(Dong1),"",OFFSET(TH!F$1,SMALL(Dong1,ROWS($1:58)),))</f>
        <v>Thu tiền hàng</v>
      </c>
      <c r="F71" s="86" t="str">
        <f ca="1">IF(ROWS($1:58)&gt;COUNT(Dong1),"",IF(OFFSET(TH!M$1,SMALL(Dong1,ROWS($1:58)),)="1111",OFFSET(TH!L$1,SMALL(Dong1,ROWS($1:58)),),OFFSET(TH!M$1,SMALL(Dong1,ROWS($1:58)),)))</f>
        <v>131</v>
      </c>
      <c r="G71" s="87">
        <f ca="1">IF(ROWS($1:58)&gt;COUNT(Dong1),"",IF(OFFSET(TH!L$1,SMALL(Dong1,ROWS($1:58)),)="1111",OFFSET(TH!K$1,SMALL(Dong1,ROWS($1:58)),),0))</f>
        <v>19800000</v>
      </c>
      <c r="H71" s="85">
        <f ca="1">IF(ROWS($1:58)&gt;COUNT(Dong1),"",IF(OFFSET(TH!M$1,SMALL(Dong1,ROWS($1:58)),)="1111",OFFSET(TH!K$1,SMALL(Dong1,ROWS($1:58)),),0))</f>
        <v>0</v>
      </c>
      <c r="I71" s="83">
        <f t="shared" ca="1" si="1"/>
        <v>1828258941</v>
      </c>
      <c r="J71" s="88"/>
    </row>
    <row r="72" spans="1:10" ht="21.75" customHeight="1">
      <c r="A72" s="82">
        <f ca="1">IF(ROWS($1:59)&gt;COUNT(Dong1),"",OFFSET(TH!C$1,SMALL(Dong1,ROWS($1:59)),))</f>
        <v>42709</v>
      </c>
      <c r="B72" s="82">
        <f ca="1">IF(ROWS($1:59)&gt;COUNT(Dong1),"",OFFSET(TH!E$1,SMALL(Dong1,ROWS($1:59)),))</f>
        <v>42709</v>
      </c>
      <c r="C72" s="83" t="str">
        <f ca="1">IF(ROWS($1:59)&gt;COUNT(Dong1),"",IF(OFFSET(TH!L$1,SMALL(Dong1,ROWS($1:59)),)="1111",OFFSET(TH!D$1,SMALL(Dong1,ROWS($1:59)),),""))</f>
        <v>T24</v>
      </c>
      <c r="D72" s="84" t="str">
        <f ca="1">IF(ROWS($1:59)&gt;COUNT(Dong1),"",IF(OFFSET(TH!M$1,SMALL(Dong1,ROWS($1:59)),)="1111",OFFSET(TH!D$1,SMALL(Dong1,ROWS($1:59)),),""))</f>
        <v/>
      </c>
      <c r="E72" s="128" t="str">
        <f ca="1">IF(ROWS($1:59)&gt;COUNT(Dong1),"",OFFSET(TH!F$1,SMALL(Dong1,ROWS($1:59)),))</f>
        <v>Thu tiền hàng</v>
      </c>
      <c r="F72" s="86" t="str">
        <f ca="1">IF(ROWS($1:59)&gt;COUNT(Dong1),"",IF(OFFSET(TH!M$1,SMALL(Dong1,ROWS($1:59)),)="1111",OFFSET(TH!L$1,SMALL(Dong1,ROWS($1:59)),),OFFSET(TH!M$1,SMALL(Dong1,ROWS($1:59)),)))</f>
        <v>131</v>
      </c>
      <c r="G72" s="87">
        <f ca="1">IF(ROWS($1:59)&gt;COUNT(Dong1),"",IF(OFFSET(TH!L$1,SMALL(Dong1,ROWS($1:59)),)="1111",OFFSET(TH!K$1,SMALL(Dong1,ROWS($1:59)),),0))</f>
        <v>7559640</v>
      </c>
      <c r="H72" s="85">
        <f ca="1">IF(ROWS($1:59)&gt;COUNT(Dong1),"",IF(OFFSET(TH!M$1,SMALL(Dong1,ROWS($1:59)),)="1111",OFFSET(TH!K$1,SMALL(Dong1,ROWS($1:59)),),0))</f>
        <v>0</v>
      </c>
      <c r="I72" s="83">
        <f t="shared" ca="1" si="1"/>
        <v>1835818581</v>
      </c>
      <c r="J72" s="88"/>
    </row>
    <row r="73" spans="1:10" ht="21.75" customHeight="1">
      <c r="A73" s="82">
        <f ca="1">IF(ROWS($1:60)&gt;COUNT(Dong1),"",OFFSET(TH!C$1,SMALL(Dong1,ROWS($1:60)),))</f>
        <v>42709</v>
      </c>
      <c r="B73" s="82">
        <f ca="1">IF(ROWS($1:60)&gt;COUNT(Dong1),"",OFFSET(TH!E$1,SMALL(Dong1,ROWS($1:60)),))</f>
        <v>42709</v>
      </c>
      <c r="C73" s="83" t="str">
        <f ca="1">IF(ROWS($1:60)&gt;COUNT(Dong1),"",IF(OFFSET(TH!L$1,SMALL(Dong1,ROWS($1:60)),)="1111",OFFSET(TH!D$1,SMALL(Dong1,ROWS($1:60)),),""))</f>
        <v>T25</v>
      </c>
      <c r="D73" s="84" t="str">
        <f ca="1">IF(ROWS($1:60)&gt;COUNT(Dong1),"",IF(OFFSET(TH!M$1,SMALL(Dong1,ROWS($1:60)),)="1111",OFFSET(TH!D$1,SMALL(Dong1,ROWS($1:60)),),""))</f>
        <v/>
      </c>
      <c r="E73" s="128" t="str">
        <f ca="1">IF(ROWS($1:60)&gt;COUNT(Dong1),"",OFFSET(TH!F$1,SMALL(Dong1,ROWS($1:60)),))</f>
        <v>Thu tiền hàng</v>
      </c>
      <c r="F73" s="86" t="str">
        <f ca="1">IF(ROWS($1:60)&gt;COUNT(Dong1),"",IF(OFFSET(TH!M$1,SMALL(Dong1,ROWS($1:60)),)="1111",OFFSET(TH!L$1,SMALL(Dong1,ROWS($1:60)),),OFFSET(TH!M$1,SMALL(Dong1,ROWS($1:60)),)))</f>
        <v>131</v>
      </c>
      <c r="G73" s="87">
        <f ca="1">IF(ROWS($1:60)&gt;COUNT(Dong1),"",IF(OFFSET(TH!L$1,SMALL(Dong1,ROWS($1:60)),)="1111",OFFSET(TH!K$1,SMALL(Dong1,ROWS($1:60)),),0))</f>
        <v>4601300</v>
      </c>
      <c r="H73" s="85">
        <f ca="1">IF(ROWS($1:60)&gt;COUNT(Dong1),"",IF(OFFSET(TH!M$1,SMALL(Dong1,ROWS($1:60)),)="1111",OFFSET(TH!K$1,SMALL(Dong1,ROWS($1:60)),),0))</f>
        <v>0</v>
      </c>
      <c r="I73" s="83">
        <f t="shared" ca="1" si="1"/>
        <v>1840419881</v>
      </c>
      <c r="J73" s="88"/>
    </row>
    <row r="74" spans="1:10" ht="21.75" customHeight="1">
      <c r="A74" s="82">
        <f ca="1">IF(ROWS($1:61)&gt;COUNT(Dong1),"",OFFSET(TH!C$1,SMALL(Dong1,ROWS($1:61)),))</f>
        <v>42709</v>
      </c>
      <c r="B74" s="82">
        <f ca="1">IF(ROWS($1:61)&gt;COUNT(Dong1),"",OFFSET(TH!E$1,SMALL(Dong1,ROWS($1:61)),))</f>
        <v>42709</v>
      </c>
      <c r="C74" s="83" t="str">
        <f ca="1">IF(ROWS($1:61)&gt;COUNT(Dong1),"",IF(OFFSET(TH!L$1,SMALL(Dong1,ROWS($1:61)),)="1111",OFFSET(TH!D$1,SMALL(Dong1,ROWS($1:61)),),""))</f>
        <v>T26</v>
      </c>
      <c r="D74" s="84" t="str">
        <f ca="1">IF(ROWS($1:61)&gt;COUNT(Dong1),"",IF(OFFSET(TH!M$1,SMALL(Dong1,ROWS($1:61)),)="1111",OFFSET(TH!D$1,SMALL(Dong1,ROWS($1:61)),),""))</f>
        <v/>
      </c>
      <c r="E74" s="128" t="str">
        <f ca="1">IF(ROWS($1:61)&gt;COUNT(Dong1),"",OFFSET(TH!F$1,SMALL(Dong1,ROWS($1:61)),))</f>
        <v>Thu tiền hàng</v>
      </c>
      <c r="F74" s="86" t="str">
        <f ca="1">IF(ROWS($1:61)&gt;COUNT(Dong1),"",IF(OFFSET(TH!M$1,SMALL(Dong1,ROWS($1:61)),)="1111",OFFSET(TH!L$1,SMALL(Dong1,ROWS($1:61)),),OFFSET(TH!M$1,SMALL(Dong1,ROWS($1:61)),)))</f>
        <v>131</v>
      </c>
      <c r="G74" s="87">
        <f ca="1">IF(ROWS($1:61)&gt;COUNT(Dong1),"",IF(OFFSET(TH!L$1,SMALL(Dong1,ROWS($1:61)),)="1111",OFFSET(TH!K$1,SMALL(Dong1,ROWS($1:61)),),0))</f>
        <v>19800000</v>
      </c>
      <c r="H74" s="85">
        <f ca="1">IF(ROWS($1:61)&gt;COUNT(Dong1),"",IF(OFFSET(TH!M$1,SMALL(Dong1,ROWS($1:61)),)="1111",OFFSET(TH!K$1,SMALL(Dong1,ROWS($1:61)),),0))</f>
        <v>0</v>
      </c>
      <c r="I74" s="83">
        <f t="shared" ca="1" si="1"/>
        <v>1860219881</v>
      </c>
      <c r="J74" s="88"/>
    </row>
    <row r="75" spans="1:10" ht="21.75" customHeight="1">
      <c r="A75" s="82">
        <f ca="1">IF(ROWS($1:62)&gt;COUNT(Dong1),"",OFFSET(TH!C$1,SMALL(Dong1,ROWS($1:62)),))</f>
        <v>42710</v>
      </c>
      <c r="B75" s="82">
        <f ca="1">IF(ROWS($1:62)&gt;COUNT(Dong1),"",OFFSET(TH!E$1,SMALL(Dong1,ROWS($1:62)),))</f>
        <v>42710</v>
      </c>
      <c r="C75" s="83" t="str">
        <f ca="1">IF(ROWS($1:62)&gt;COUNT(Dong1),"",IF(OFFSET(TH!L$1,SMALL(Dong1,ROWS($1:62)),)="1111",OFFSET(TH!D$1,SMALL(Dong1,ROWS($1:62)),),""))</f>
        <v>T27</v>
      </c>
      <c r="D75" s="84" t="str">
        <f ca="1">IF(ROWS($1:62)&gt;COUNT(Dong1),"",IF(OFFSET(TH!M$1,SMALL(Dong1,ROWS($1:62)),)="1111",OFFSET(TH!D$1,SMALL(Dong1,ROWS($1:62)),),""))</f>
        <v/>
      </c>
      <c r="E75" s="128" t="str">
        <f ca="1">IF(ROWS($1:62)&gt;COUNT(Dong1),"",OFFSET(TH!F$1,SMALL(Dong1,ROWS($1:62)),))</f>
        <v>Thu tiền hàng</v>
      </c>
      <c r="F75" s="86" t="str">
        <f ca="1">IF(ROWS($1:62)&gt;COUNT(Dong1),"",IF(OFFSET(TH!M$1,SMALL(Dong1,ROWS($1:62)),)="1111",OFFSET(TH!L$1,SMALL(Dong1,ROWS($1:62)),),OFFSET(TH!M$1,SMALL(Dong1,ROWS($1:62)),)))</f>
        <v>131</v>
      </c>
      <c r="G75" s="87">
        <f ca="1">IF(ROWS($1:62)&gt;COUNT(Dong1),"",IF(OFFSET(TH!L$1,SMALL(Dong1,ROWS($1:62)),)="1111",OFFSET(TH!K$1,SMALL(Dong1,ROWS($1:62)),),0))</f>
        <v>19800000</v>
      </c>
      <c r="H75" s="85">
        <f ca="1">IF(ROWS($1:62)&gt;COUNT(Dong1),"",IF(OFFSET(TH!M$1,SMALL(Dong1,ROWS($1:62)),)="1111",OFFSET(TH!K$1,SMALL(Dong1,ROWS($1:62)),),0))</f>
        <v>0</v>
      </c>
      <c r="I75" s="83">
        <f t="shared" ca="1" si="1"/>
        <v>1880019881</v>
      </c>
      <c r="J75" s="88"/>
    </row>
    <row r="76" spans="1:10" ht="21.75" customHeight="1">
      <c r="A76" s="82">
        <f ca="1">IF(ROWS($1:63)&gt;COUNT(Dong1),"",OFFSET(TH!C$1,SMALL(Dong1,ROWS($1:63)),))</f>
        <v>42712</v>
      </c>
      <c r="B76" s="82">
        <f ca="1">IF(ROWS($1:63)&gt;COUNT(Dong1),"",OFFSET(TH!E$1,SMALL(Dong1,ROWS($1:63)),))</f>
        <v>42712</v>
      </c>
      <c r="C76" s="83" t="str">
        <f ca="1">IF(ROWS($1:63)&gt;COUNT(Dong1),"",IF(OFFSET(TH!L$1,SMALL(Dong1,ROWS($1:63)),)="1111",OFFSET(TH!D$1,SMALL(Dong1,ROWS($1:63)),),""))</f>
        <v/>
      </c>
      <c r="D76" s="84" t="str">
        <f ca="1">IF(ROWS($1:63)&gt;COUNT(Dong1),"",IF(OFFSET(TH!M$1,SMALL(Dong1,ROWS($1:63)),)="1111",OFFSET(TH!D$1,SMALL(Dong1,ROWS($1:63)),),""))</f>
        <v>C24</v>
      </c>
      <c r="E76" s="128" t="str">
        <f ca="1">IF(ROWS($1:63)&gt;COUNT(Dong1),"",OFFSET(TH!F$1,SMALL(Dong1,ROWS($1:63)),))</f>
        <v>Thanh toán tiền hàng</v>
      </c>
      <c r="F76" s="86" t="str">
        <f ca="1">IF(ROWS($1:63)&gt;COUNT(Dong1),"",IF(OFFSET(TH!M$1,SMALL(Dong1,ROWS($1:63)),)="1111",OFFSET(TH!L$1,SMALL(Dong1,ROWS($1:63)),),OFFSET(TH!M$1,SMALL(Dong1,ROWS($1:63)),)))</f>
        <v>331</v>
      </c>
      <c r="G76" s="87">
        <f ca="1">IF(ROWS($1:63)&gt;COUNT(Dong1),"",IF(OFFSET(TH!L$1,SMALL(Dong1,ROWS($1:63)),)="1111",OFFSET(TH!K$1,SMALL(Dong1,ROWS($1:63)),),0))</f>
        <v>0</v>
      </c>
      <c r="H76" s="85">
        <f ca="1">IF(ROWS($1:63)&gt;COUNT(Dong1),"",IF(OFFSET(TH!M$1,SMALL(Dong1,ROWS($1:63)),)="1111",OFFSET(TH!K$1,SMALL(Dong1,ROWS($1:63)),),0))</f>
        <v>17441600</v>
      </c>
      <c r="I76" s="83">
        <f t="shared" ca="1" si="1"/>
        <v>1862578281</v>
      </c>
      <c r="J76" s="88"/>
    </row>
    <row r="77" spans="1:10" ht="21.75" customHeight="1">
      <c r="A77" s="82">
        <f ca="1">IF(ROWS($1:64)&gt;COUNT(Dong1),"",OFFSET(TH!C$1,SMALL(Dong1,ROWS($1:64)),))</f>
        <v>42713</v>
      </c>
      <c r="B77" s="82">
        <f ca="1">IF(ROWS($1:64)&gt;COUNT(Dong1),"",OFFSET(TH!E$1,SMALL(Dong1,ROWS($1:64)),))</f>
        <v>42713</v>
      </c>
      <c r="C77" s="83" t="str">
        <f ca="1">IF(ROWS($1:64)&gt;COUNT(Dong1),"",IF(OFFSET(TH!L$1,SMALL(Dong1,ROWS($1:64)),)="1111",OFFSET(TH!D$1,SMALL(Dong1,ROWS($1:64)),),""))</f>
        <v>T28</v>
      </c>
      <c r="D77" s="84" t="str">
        <f ca="1">IF(ROWS($1:64)&gt;COUNT(Dong1),"",IF(OFFSET(TH!M$1,SMALL(Dong1,ROWS($1:64)),)="1111",OFFSET(TH!D$1,SMALL(Dong1,ROWS($1:64)),),""))</f>
        <v/>
      </c>
      <c r="E77" s="128" t="str">
        <f ca="1">IF(ROWS($1:64)&gt;COUNT(Dong1),"",OFFSET(TH!F$1,SMALL(Dong1,ROWS($1:64)),))</f>
        <v>Thu tiền hàng</v>
      </c>
      <c r="F77" s="86" t="str">
        <f ca="1">IF(ROWS($1:64)&gt;COUNT(Dong1),"",IF(OFFSET(TH!M$1,SMALL(Dong1,ROWS($1:64)),)="1111",OFFSET(TH!L$1,SMALL(Dong1,ROWS($1:64)),),OFFSET(TH!M$1,SMALL(Dong1,ROWS($1:64)),)))</f>
        <v>131</v>
      </c>
      <c r="G77" s="87">
        <f ca="1">IF(ROWS($1:64)&gt;COUNT(Dong1),"",IF(OFFSET(TH!L$1,SMALL(Dong1,ROWS($1:64)),)="1111",OFFSET(TH!K$1,SMALL(Dong1,ROWS($1:64)),),0))</f>
        <v>19800000</v>
      </c>
      <c r="H77" s="85">
        <f ca="1">IF(ROWS($1:64)&gt;COUNT(Dong1),"",IF(OFFSET(TH!M$1,SMALL(Dong1,ROWS($1:64)),)="1111",OFFSET(TH!K$1,SMALL(Dong1,ROWS($1:64)),),0))</f>
        <v>0</v>
      </c>
      <c r="I77" s="83">
        <f t="shared" ca="1" si="1"/>
        <v>1882378281</v>
      </c>
      <c r="J77" s="88"/>
    </row>
    <row r="78" spans="1:10" ht="21.75" customHeight="1">
      <c r="A78" s="82">
        <f ca="1">IF(ROWS($1:65)&gt;COUNT(Dong1),"",OFFSET(TH!C$1,SMALL(Dong1,ROWS($1:65)),))</f>
        <v>42714</v>
      </c>
      <c r="B78" s="82">
        <f ca="1">IF(ROWS($1:65)&gt;COUNT(Dong1),"",OFFSET(TH!E$1,SMALL(Dong1,ROWS($1:65)),))</f>
        <v>42714</v>
      </c>
      <c r="C78" s="83" t="str">
        <f ca="1">IF(ROWS($1:65)&gt;COUNT(Dong1),"",IF(OFFSET(TH!L$1,SMALL(Dong1,ROWS($1:65)),)="1111",OFFSET(TH!D$1,SMALL(Dong1,ROWS($1:65)),),""))</f>
        <v>T29</v>
      </c>
      <c r="D78" s="84" t="str">
        <f ca="1">IF(ROWS($1:65)&gt;COUNT(Dong1),"",IF(OFFSET(TH!M$1,SMALL(Dong1,ROWS($1:65)),)="1111",OFFSET(TH!D$1,SMALL(Dong1,ROWS($1:65)),),""))</f>
        <v/>
      </c>
      <c r="E78" s="128" t="str">
        <f ca="1">IF(ROWS($1:65)&gt;COUNT(Dong1),"",OFFSET(TH!F$1,SMALL(Dong1,ROWS($1:65)),))</f>
        <v>Thu tiền hàng</v>
      </c>
      <c r="F78" s="86" t="str">
        <f ca="1">IF(ROWS($1:65)&gt;COUNT(Dong1),"",IF(OFFSET(TH!M$1,SMALL(Dong1,ROWS($1:65)),)="1111",OFFSET(TH!L$1,SMALL(Dong1,ROWS($1:65)),),OFFSET(TH!M$1,SMALL(Dong1,ROWS($1:65)),)))</f>
        <v>131</v>
      </c>
      <c r="G78" s="87">
        <f ca="1">IF(ROWS($1:65)&gt;COUNT(Dong1),"",IF(OFFSET(TH!L$1,SMALL(Dong1,ROWS($1:65)),)="1111",OFFSET(TH!K$1,SMALL(Dong1,ROWS($1:65)),),0))</f>
        <v>19800000</v>
      </c>
      <c r="H78" s="85">
        <f ca="1">IF(ROWS($1:65)&gt;COUNT(Dong1),"",IF(OFFSET(TH!M$1,SMALL(Dong1,ROWS($1:65)),)="1111",OFFSET(TH!K$1,SMALL(Dong1,ROWS($1:65)),),0))</f>
        <v>0</v>
      </c>
      <c r="I78" s="83">
        <f t="shared" ca="1" si="1"/>
        <v>1902178281</v>
      </c>
      <c r="J78" s="88"/>
    </row>
    <row r="79" spans="1:10" ht="21.75" customHeight="1">
      <c r="A79" s="82">
        <f ca="1">IF(ROWS($1:66)&gt;COUNT(Dong1),"",OFFSET(TH!C$1,SMALL(Dong1,ROWS($1:66)),))</f>
        <v>42715</v>
      </c>
      <c r="B79" s="82">
        <f ca="1">IF(ROWS($1:66)&gt;COUNT(Dong1),"",OFFSET(TH!E$1,SMALL(Dong1,ROWS($1:66)),))</f>
        <v>42715</v>
      </c>
      <c r="C79" s="83" t="str">
        <f ca="1">IF(ROWS($1:66)&gt;COUNT(Dong1),"",IF(OFFSET(TH!L$1,SMALL(Dong1,ROWS($1:66)),)="1111",OFFSET(TH!D$1,SMALL(Dong1,ROWS($1:66)),),""))</f>
        <v>T30</v>
      </c>
      <c r="D79" s="84" t="str">
        <f ca="1">IF(ROWS($1:66)&gt;COUNT(Dong1),"",IF(OFFSET(TH!M$1,SMALL(Dong1,ROWS($1:66)),)="1111",OFFSET(TH!D$1,SMALL(Dong1,ROWS($1:66)),),""))</f>
        <v/>
      </c>
      <c r="E79" s="128" t="str">
        <f ca="1">IF(ROWS($1:66)&gt;COUNT(Dong1),"",OFFSET(TH!F$1,SMALL(Dong1,ROWS($1:66)),))</f>
        <v>Thu tiền hàng</v>
      </c>
      <c r="F79" s="86" t="str">
        <f ca="1">IF(ROWS($1:66)&gt;COUNT(Dong1),"",IF(OFFSET(TH!M$1,SMALL(Dong1,ROWS($1:66)),)="1111",OFFSET(TH!L$1,SMALL(Dong1,ROWS($1:66)),),OFFSET(TH!M$1,SMALL(Dong1,ROWS($1:66)),)))</f>
        <v>131</v>
      </c>
      <c r="G79" s="87">
        <f ca="1">IF(ROWS($1:66)&gt;COUNT(Dong1),"",IF(OFFSET(TH!L$1,SMALL(Dong1,ROWS($1:66)),)="1111",OFFSET(TH!K$1,SMALL(Dong1,ROWS($1:66)),),0))</f>
        <v>19800000</v>
      </c>
      <c r="H79" s="85">
        <f ca="1">IF(ROWS($1:66)&gt;COUNT(Dong1),"",IF(OFFSET(TH!M$1,SMALL(Dong1,ROWS($1:66)),)="1111",OFFSET(TH!K$1,SMALL(Dong1,ROWS($1:66)),),0))</f>
        <v>0</v>
      </c>
      <c r="I79" s="83">
        <f t="shared" ref="I79:I86" ca="1" si="2">IF(E79&lt;&gt;"",I78+G79-H79,0)</f>
        <v>1921978281</v>
      </c>
      <c r="J79" s="88"/>
    </row>
    <row r="80" spans="1:10" ht="21.75" customHeight="1">
      <c r="A80" s="82">
        <f ca="1">IF(ROWS($1:67)&gt;COUNT(Dong1),"",OFFSET(TH!C$1,SMALL(Dong1,ROWS($1:67)),))</f>
        <v>42716</v>
      </c>
      <c r="B80" s="82">
        <f ca="1">IF(ROWS($1:67)&gt;COUNT(Dong1),"",OFFSET(TH!E$1,SMALL(Dong1,ROWS($1:67)),))</f>
        <v>42716</v>
      </c>
      <c r="C80" s="83" t="str">
        <f ca="1">IF(ROWS($1:67)&gt;COUNT(Dong1),"",IF(OFFSET(TH!L$1,SMALL(Dong1,ROWS($1:67)),)="1111",OFFSET(TH!D$1,SMALL(Dong1,ROWS($1:67)),),""))</f>
        <v/>
      </c>
      <c r="D80" s="84" t="str">
        <f ca="1">IF(ROWS($1:67)&gt;COUNT(Dong1),"",IF(OFFSET(TH!M$1,SMALL(Dong1,ROWS($1:67)),)="1111",OFFSET(TH!D$1,SMALL(Dong1,ROWS($1:67)),),""))</f>
        <v>C25</v>
      </c>
      <c r="E80" s="128" t="str">
        <f ca="1">IF(ROWS($1:67)&gt;COUNT(Dong1),"",OFFSET(TH!F$1,SMALL(Dong1,ROWS($1:67)),))</f>
        <v>Nộp tiền mặt</v>
      </c>
      <c r="F80" s="86" t="str">
        <f ca="1">IF(ROWS($1:67)&gt;COUNT(Dong1),"",IF(OFFSET(TH!M$1,SMALL(Dong1,ROWS($1:67)),)="1111",OFFSET(TH!L$1,SMALL(Dong1,ROWS($1:67)),),OFFSET(TH!M$1,SMALL(Dong1,ROWS($1:67)),)))</f>
        <v>1121</v>
      </c>
      <c r="G80" s="87">
        <f ca="1">IF(ROWS($1:67)&gt;COUNT(Dong1),"",IF(OFFSET(TH!L$1,SMALL(Dong1,ROWS($1:67)),)="1111",OFFSET(TH!K$1,SMALL(Dong1,ROWS($1:67)),),0))</f>
        <v>0</v>
      </c>
      <c r="H80" s="85">
        <f ca="1">IF(ROWS($1:67)&gt;COUNT(Dong1),"",IF(OFFSET(TH!M$1,SMALL(Dong1,ROWS($1:67)),)="1111",OFFSET(TH!K$1,SMALL(Dong1,ROWS($1:67)),),0))</f>
        <v>4500000</v>
      </c>
      <c r="I80" s="83">
        <f t="shared" ca="1" si="2"/>
        <v>1917478281</v>
      </c>
      <c r="J80" s="88"/>
    </row>
    <row r="81" spans="1:10" ht="21.75" customHeight="1">
      <c r="A81" s="82">
        <f ca="1">IF(ROWS($1:68)&gt;COUNT(Dong1),"",OFFSET(TH!C$1,SMALL(Dong1,ROWS($1:68)),))</f>
        <v>42716</v>
      </c>
      <c r="B81" s="82">
        <f ca="1">IF(ROWS($1:68)&gt;COUNT(Dong1),"",OFFSET(TH!E$1,SMALL(Dong1,ROWS($1:68)),))</f>
        <v>42716</v>
      </c>
      <c r="C81" s="83" t="str">
        <f ca="1">IF(ROWS($1:68)&gt;COUNT(Dong1),"",IF(OFFSET(TH!L$1,SMALL(Dong1,ROWS($1:68)),)="1111",OFFSET(TH!D$1,SMALL(Dong1,ROWS($1:68)),),""))</f>
        <v>T31</v>
      </c>
      <c r="D81" s="84" t="str">
        <f ca="1">IF(ROWS($1:68)&gt;COUNT(Dong1),"",IF(OFFSET(TH!M$1,SMALL(Dong1,ROWS($1:68)),)="1111",OFFSET(TH!D$1,SMALL(Dong1,ROWS($1:68)),),""))</f>
        <v/>
      </c>
      <c r="E81" s="128" t="str">
        <f ca="1">IF(ROWS($1:68)&gt;COUNT(Dong1),"",OFFSET(TH!F$1,SMALL(Dong1,ROWS($1:68)),))</f>
        <v>Thu tiền hàng</v>
      </c>
      <c r="F81" s="86" t="str">
        <f ca="1">IF(ROWS($1:68)&gt;COUNT(Dong1),"",IF(OFFSET(TH!M$1,SMALL(Dong1,ROWS($1:68)),)="1111",OFFSET(TH!L$1,SMALL(Dong1,ROWS($1:68)),),OFFSET(TH!M$1,SMALL(Dong1,ROWS($1:68)),)))</f>
        <v>131</v>
      </c>
      <c r="G81" s="87">
        <f ca="1">IF(ROWS($1:68)&gt;COUNT(Dong1),"",IF(OFFSET(TH!L$1,SMALL(Dong1,ROWS($1:68)),)="1111",OFFSET(TH!K$1,SMALL(Dong1,ROWS($1:68)),),0))</f>
        <v>19800000</v>
      </c>
      <c r="H81" s="85">
        <f ca="1">IF(ROWS($1:68)&gt;COUNT(Dong1),"",IF(OFFSET(TH!M$1,SMALL(Dong1,ROWS($1:68)),)="1111",OFFSET(TH!K$1,SMALL(Dong1,ROWS($1:68)),),0))</f>
        <v>0</v>
      </c>
      <c r="I81" s="83">
        <f t="shared" ca="1" si="2"/>
        <v>1937278281</v>
      </c>
      <c r="J81" s="88"/>
    </row>
    <row r="82" spans="1:10" ht="21.75" customHeight="1">
      <c r="A82" s="82">
        <f ca="1">IF(ROWS($1:69)&gt;COUNT(Dong1),"",OFFSET(TH!C$1,SMALL(Dong1,ROWS($1:69)),))</f>
        <v>42717</v>
      </c>
      <c r="B82" s="82">
        <f ca="1">IF(ROWS($1:69)&gt;COUNT(Dong1),"",OFFSET(TH!E$1,SMALL(Dong1,ROWS($1:69)),))</f>
        <v>42717</v>
      </c>
      <c r="C82" s="83" t="str">
        <f ca="1">IF(ROWS($1:69)&gt;COUNT(Dong1),"",IF(OFFSET(TH!L$1,SMALL(Dong1,ROWS($1:69)),)="1111",OFFSET(TH!D$1,SMALL(Dong1,ROWS($1:69)),),""))</f>
        <v/>
      </c>
      <c r="D82" s="84" t="str">
        <f ca="1">IF(ROWS($1:69)&gt;COUNT(Dong1),"",IF(OFFSET(TH!M$1,SMALL(Dong1,ROWS($1:69)),)="1111",OFFSET(TH!D$1,SMALL(Dong1,ROWS($1:69)),),""))</f>
        <v>C26</v>
      </c>
      <c r="E82" s="128" t="str">
        <f ca="1">IF(ROWS($1:69)&gt;COUNT(Dong1),"",OFFSET(TH!F$1,SMALL(Dong1,ROWS($1:69)),))</f>
        <v>Nộp tiền mặt</v>
      </c>
      <c r="F82" s="86" t="str">
        <f ca="1">IF(ROWS($1:69)&gt;COUNT(Dong1),"",IF(OFFSET(TH!M$1,SMALL(Dong1,ROWS($1:69)),)="1111",OFFSET(TH!L$1,SMALL(Dong1,ROWS($1:69)),),OFFSET(TH!M$1,SMALL(Dong1,ROWS($1:69)),)))</f>
        <v>1121</v>
      </c>
      <c r="G82" s="87">
        <f ca="1">IF(ROWS($1:69)&gt;COUNT(Dong1),"",IF(OFFSET(TH!L$1,SMALL(Dong1,ROWS($1:69)),)="1111",OFFSET(TH!K$1,SMALL(Dong1,ROWS($1:69)),),0))</f>
        <v>0</v>
      </c>
      <c r="H82" s="85">
        <f ca="1">IF(ROWS($1:69)&gt;COUNT(Dong1),"",IF(OFFSET(TH!M$1,SMALL(Dong1,ROWS($1:69)),)="1111",OFFSET(TH!K$1,SMALL(Dong1,ROWS($1:69)),),0))</f>
        <v>13300000</v>
      </c>
      <c r="I82" s="83">
        <f t="shared" ca="1" si="2"/>
        <v>1923978281</v>
      </c>
      <c r="J82" s="88"/>
    </row>
    <row r="83" spans="1:10" ht="21.75" customHeight="1">
      <c r="A83" s="82">
        <f ca="1">IF(ROWS($1:70)&gt;COUNT(Dong1),"",OFFSET(TH!C$1,SMALL(Dong1,ROWS($1:70)),))</f>
        <v>42717</v>
      </c>
      <c r="B83" s="82">
        <f ca="1">IF(ROWS($1:70)&gt;COUNT(Dong1),"",OFFSET(TH!E$1,SMALL(Dong1,ROWS($1:70)),))</f>
        <v>42717</v>
      </c>
      <c r="C83" s="83" t="str">
        <f ca="1">IF(ROWS($1:70)&gt;COUNT(Dong1),"",IF(OFFSET(TH!L$1,SMALL(Dong1,ROWS($1:70)),)="1111",OFFSET(TH!D$1,SMALL(Dong1,ROWS($1:70)),),""))</f>
        <v>T32</v>
      </c>
      <c r="D83" s="84" t="str">
        <f ca="1">IF(ROWS($1:70)&gt;COUNT(Dong1),"",IF(OFFSET(TH!M$1,SMALL(Dong1,ROWS($1:70)),)="1111",OFFSET(TH!D$1,SMALL(Dong1,ROWS($1:70)),),""))</f>
        <v/>
      </c>
      <c r="E83" s="128" t="str">
        <f ca="1">IF(ROWS($1:70)&gt;COUNT(Dong1),"",OFFSET(TH!F$1,SMALL(Dong1,ROWS($1:70)),))</f>
        <v>Thu tiền hàng</v>
      </c>
      <c r="F83" s="86" t="str">
        <f ca="1">IF(ROWS($1:70)&gt;COUNT(Dong1),"",IF(OFFSET(TH!M$1,SMALL(Dong1,ROWS($1:70)),)="1111",OFFSET(TH!L$1,SMALL(Dong1,ROWS($1:70)),),OFFSET(TH!M$1,SMALL(Dong1,ROWS($1:70)),)))</f>
        <v>131</v>
      </c>
      <c r="G83" s="87">
        <f ca="1">IF(ROWS($1:70)&gt;COUNT(Dong1),"",IF(OFFSET(TH!L$1,SMALL(Dong1,ROWS($1:70)),)="1111",OFFSET(TH!K$1,SMALL(Dong1,ROWS($1:70)),),0))</f>
        <v>4451260</v>
      </c>
      <c r="H83" s="85">
        <f ca="1">IF(ROWS($1:70)&gt;COUNT(Dong1),"",IF(OFFSET(TH!M$1,SMALL(Dong1,ROWS($1:70)),)="1111",OFFSET(TH!K$1,SMALL(Dong1,ROWS($1:70)),),0))</f>
        <v>0</v>
      </c>
      <c r="I83" s="83">
        <f t="shared" ca="1" si="2"/>
        <v>1928429541</v>
      </c>
      <c r="J83" s="88"/>
    </row>
    <row r="84" spans="1:10" ht="21.75" customHeight="1">
      <c r="A84" s="82">
        <f ca="1">IF(ROWS($1:71)&gt;COUNT(Dong1),"",OFFSET(TH!C$1,SMALL(Dong1,ROWS($1:71)),))</f>
        <v>42719</v>
      </c>
      <c r="B84" s="82">
        <f ca="1">IF(ROWS($1:71)&gt;COUNT(Dong1),"",OFFSET(TH!E$1,SMALL(Dong1,ROWS($1:71)),))</f>
        <v>42719</v>
      </c>
      <c r="C84" s="83" t="str">
        <f ca="1">IF(ROWS($1:71)&gt;COUNT(Dong1),"",IF(OFFSET(TH!L$1,SMALL(Dong1,ROWS($1:71)),)="1111",OFFSET(TH!D$1,SMALL(Dong1,ROWS($1:71)),),""))</f>
        <v>T33</v>
      </c>
      <c r="D84" s="84" t="str">
        <f ca="1">IF(ROWS($1:71)&gt;COUNT(Dong1),"",IF(OFFSET(TH!M$1,SMALL(Dong1,ROWS($1:71)),)="1111",OFFSET(TH!D$1,SMALL(Dong1,ROWS($1:71)),),""))</f>
        <v/>
      </c>
      <c r="E84" s="128" t="str">
        <f ca="1">IF(ROWS($1:71)&gt;COUNT(Dong1),"",OFFSET(TH!F$1,SMALL(Dong1,ROWS($1:71)),))</f>
        <v>Thu tiền hàng</v>
      </c>
      <c r="F84" s="86" t="str">
        <f ca="1">IF(ROWS($1:71)&gt;COUNT(Dong1),"",IF(OFFSET(TH!M$1,SMALL(Dong1,ROWS($1:71)),)="1111",OFFSET(TH!L$1,SMALL(Dong1,ROWS($1:71)),),OFFSET(TH!M$1,SMALL(Dong1,ROWS($1:71)),)))</f>
        <v>131</v>
      </c>
      <c r="G84" s="87">
        <f ca="1">IF(ROWS($1:71)&gt;COUNT(Dong1),"",IF(OFFSET(TH!L$1,SMALL(Dong1,ROWS($1:71)),)="1111",OFFSET(TH!K$1,SMALL(Dong1,ROWS($1:71)),),0))</f>
        <v>19800000</v>
      </c>
      <c r="H84" s="85">
        <f ca="1">IF(ROWS($1:71)&gt;COUNT(Dong1),"",IF(OFFSET(TH!M$1,SMALL(Dong1,ROWS($1:71)),)="1111",OFFSET(TH!K$1,SMALL(Dong1,ROWS($1:71)),),0))</f>
        <v>0</v>
      </c>
      <c r="I84" s="83">
        <f t="shared" ca="1" si="2"/>
        <v>1948229541</v>
      </c>
      <c r="J84" s="88"/>
    </row>
    <row r="85" spans="1:10" ht="21.75" customHeight="1">
      <c r="A85" s="82">
        <f ca="1">IF(ROWS($1:72)&gt;COUNT(Dong1),"",OFFSET(TH!C$1,SMALL(Dong1,ROWS($1:72)),))</f>
        <v>42720</v>
      </c>
      <c r="B85" s="82">
        <f ca="1">IF(ROWS($1:72)&gt;COUNT(Dong1),"",OFFSET(TH!E$1,SMALL(Dong1,ROWS($1:72)),))</f>
        <v>42720</v>
      </c>
      <c r="C85" s="83" t="str">
        <f ca="1">IF(ROWS($1:72)&gt;COUNT(Dong1),"",IF(OFFSET(TH!L$1,SMALL(Dong1,ROWS($1:72)),)="1111",OFFSET(TH!D$1,SMALL(Dong1,ROWS($1:72)),),""))</f>
        <v>T34</v>
      </c>
      <c r="D85" s="84" t="str">
        <f ca="1">IF(ROWS($1:72)&gt;COUNT(Dong1),"",IF(OFFSET(TH!M$1,SMALL(Dong1,ROWS($1:72)),)="1111",OFFSET(TH!D$1,SMALL(Dong1,ROWS($1:72)),),""))</f>
        <v/>
      </c>
      <c r="E85" s="128" t="str">
        <f ca="1">IF(ROWS($1:72)&gt;COUNT(Dong1),"",OFFSET(TH!F$1,SMALL(Dong1,ROWS($1:72)),))</f>
        <v>Thu tiền hàng</v>
      </c>
      <c r="F85" s="86" t="str">
        <f ca="1">IF(ROWS($1:72)&gt;COUNT(Dong1),"",IF(OFFSET(TH!M$1,SMALL(Dong1,ROWS($1:72)),)="1111",OFFSET(TH!L$1,SMALL(Dong1,ROWS($1:72)),),OFFSET(TH!M$1,SMALL(Dong1,ROWS($1:72)),)))</f>
        <v>131</v>
      </c>
      <c r="G85" s="87">
        <f ca="1">IF(ROWS($1:72)&gt;COUNT(Dong1),"",IF(OFFSET(TH!L$1,SMALL(Dong1,ROWS($1:72)),)="1111",OFFSET(TH!K$1,SMALL(Dong1,ROWS($1:72)),),0))</f>
        <v>19800000</v>
      </c>
      <c r="H85" s="85">
        <f ca="1">IF(ROWS($1:72)&gt;COUNT(Dong1),"",IF(OFFSET(TH!M$1,SMALL(Dong1,ROWS($1:72)),)="1111",OFFSET(TH!K$1,SMALL(Dong1,ROWS($1:72)),),0))</f>
        <v>0</v>
      </c>
      <c r="I85" s="83">
        <f t="shared" ca="1" si="2"/>
        <v>1968029541</v>
      </c>
      <c r="J85" s="88"/>
    </row>
    <row r="86" spans="1:10" ht="21.75" customHeight="1">
      <c r="A86" s="82">
        <f ca="1">IF(ROWS($1:73)&gt;COUNT(Dong1),"",OFFSET(TH!C$1,SMALL(Dong1,ROWS($1:73)),))</f>
        <v>42721</v>
      </c>
      <c r="B86" s="82">
        <f ca="1">IF(ROWS($1:73)&gt;COUNT(Dong1),"",OFFSET(TH!E$1,SMALL(Dong1,ROWS($1:73)),))</f>
        <v>42721</v>
      </c>
      <c r="C86" s="83" t="str">
        <f ca="1">IF(ROWS($1:73)&gt;COUNT(Dong1),"",IF(OFFSET(TH!L$1,SMALL(Dong1,ROWS($1:73)),)="1111",OFFSET(TH!D$1,SMALL(Dong1,ROWS($1:73)),),""))</f>
        <v>T35</v>
      </c>
      <c r="D86" s="84" t="str">
        <f ca="1">IF(ROWS($1:73)&gt;COUNT(Dong1),"",IF(OFFSET(TH!M$1,SMALL(Dong1,ROWS($1:73)),)="1111",OFFSET(TH!D$1,SMALL(Dong1,ROWS($1:73)),),""))</f>
        <v/>
      </c>
      <c r="E86" s="128" t="str">
        <f ca="1">IF(ROWS($1:73)&gt;COUNT(Dong1),"",OFFSET(TH!F$1,SMALL(Dong1,ROWS($1:73)),))</f>
        <v>Thu tiền hàng</v>
      </c>
      <c r="F86" s="86" t="str">
        <f ca="1">IF(ROWS($1:73)&gt;COUNT(Dong1),"",IF(OFFSET(TH!M$1,SMALL(Dong1,ROWS($1:73)),)="1111",OFFSET(TH!L$1,SMALL(Dong1,ROWS($1:73)),),OFFSET(TH!M$1,SMALL(Dong1,ROWS($1:73)),)))</f>
        <v>131</v>
      </c>
      <c r="G86" s="87">
        <f ca="1">IF(ROWS($1:73)&gt;COUNT(Dong1),"",IF(OFFSET(TH!L$1,SMALL(Dong1,ROWS($1:73)),)="1111",OFFSET(TH!K$1,SMALL(Dong1,ROWS($1:73)),),0))</f>
        <v>19800000</v>
      </c>
      <c r="H86" s="85">
        <f ca="1">IF(ROWS($1:73)&gt;COUNT(Dong1),"",IF(OFFSET(TH!M$1,SMALL(Dong1,ROWS($1:73)),)="1111",OFFSET(TH!K$1,SMALL(Dong1,ROWS($1:73)),),0))</f>
        <v>0</v>
      </c>
      <c r="I86" s="83">
        <f t="shared" ca="1" si="2"/>
        <v>1987829541</v>
      </c>
      <c r="J86" s="88"/>
    </row>
    <row r="87" spans="1:10" ht="21.75" customHeight="1">
      <c r="A87" s="82">
        <f ca="1">IF(ROWS($1:74)&gt;COUNT(Dong1),"",OFFSET(TH!C$1,SMALL(Dong1,ROWS($1:74)),))</f>
        <v>42722</v>
      </c>
      <c r="B87" s="82">
        <f ca="1">IF(ROWS($1:74)&gt;COUNT(Dong1),"",OFFSET(TH!E$1,SMALL(Dong1,ROWS($1:74)),))</f>
        <v>42722</v>
      </c>
      <c r="C87" s="83" t="str">
        <f ca="1">IF(ROWS($1:74)&gt;COUNT(Dong1),"",IF(OFFSET(TH!L$1,SMALL(Dong1,ROWS($1:74)),)="1111",OFFSET(TH!D$1,SMALL(Dong1,ROWS($1:74)),),""))</f>
        <v>T36</v>
      </c>
      <c r="D87" s="84" t="str">
        <f ca="1">IF(ROWS($1:74)&gt;COUNT(Dong1),"",IF(OFFSET(TH!M$1,SMALL(Dong1,ROWS($1:74)),)="1111",OFFSET(TH!D$1,SMALL(Dong1,ROWS($1:74)),),""))</f>
        <v/>
      </c>
      <c r="E87" s="128" t="str">
        <f ca="1">IF(ROWS($1:74)&gt;COUNT(Dong1),"",OFFSET(TH!F$1,SMALL(Dong1,ROWS($1:74)),))</f>
        <v>Thu tiền hàng</v>
      </c>
      <c r="F87" s="86" t="str">
        <f ca="1">IF(ROWS($1:74)&gt;COUNT(Dong1),"",IF(OFFSET(TH!M$1,SMALL(Dong1,ROWS($1:74)),)="1111",OFFSET(TH!L$1,SMALL(Dong1,ROWS($1:74)),),OFFSET(TH!M$1,SMALL(Dong1,ROWS($1:74)),)))</f>
        <v>131</v>
      </c>
      <c r="G87" s="87">
        <f ca="1">IF(ROWS($1:74)&gt;COUNT(Dong1),"",IF(OFFSET(TH!L$1,SMALL(Dong1,ROWS($1:74)),)="1111",OFFSET(TH!K$1,SMALL(Dong1,ROWS($1:74)),),0))</f>
        <v>19800000</v>
      </c>
      <c r="H87" s="85">
        <f ca="1">IF(ROWS($1:74)&gt;COUNT(Dong1),"",IF(OFFSET(TH!M$1,SMALL(Dong1,ROWS($1:74)),)="1111",OFFSET(TH!K$1,SMALL(Dong1,ROWS($1:74)),),0))</f>
        <v>0</v>
      </c>
      <c r="I87" s="83">
        <f t="shared" ref="I87" ca="1" si="3">IF(E87&lt;&gt;"",I86+G87-H87,0)</f>
        <v>2007629541</v>
      </c>
      <c r="J87" s="88"/>
    </row>
    <row r="88" spans="1:10" ht="21.75" customHeight="1">
      <c r="A88" s="82">
        <f ca="1">IF(ROWS($1:75)&gt;COUNT(Dong1),"",OFFSET(TH!C$1,SMALL(Dong1,ROWS($1:75)),))</f>
        <v>42723</v>
      </c>
      <c r="B88" s="82">
        <f ca="1">IF(ROWS($1:75)&gt;COUNT(Dong1),"",OFFSET(TH!E$1,SMALL(Dong1,ROWS($1:75)),))</f>
        <v>42723</v>
      </c>
      <c r="C88" s="83" t="str">
        <f ca="1">IF(ROWS($1:75)&gt;COUNT(Dong1),"",IF(OFFSET(TH!L$1,SMALL(Dong1,ROWS($1:75)),)="1111",OFFSET(TH!D$1,SMALL(Dong1,ROWS($1:75)),),""))</f>
        <v/>
      </c>
      <c r="D88" s="84" t="str">
        <f ca="1">IF(ROWS($1:75)&gt;COUNT(Dong1),"",IF(OFFSET(TH!M$1,SMALL(Dong1,ROWS($1:75)),)="1111",OFFSET(TH!D$1,SMALL(Dong1,ROWS($1:75)),),""))</f>
        <v>C27</v>
      </c>
      <c r="E88" s="128" t="str">
        <f ca="1">IF(ROWS($1:75)&gt;COUNT(Dong1),"",OFFSET(TH!F$1,SMALL(Dong1,ROWS($1:75)),))</f>
        <v>Thanh toán tiền hàng</v>
      </c>
      <c r="F88" s="86" t="str">
        <f ca="1">IF(ROWS($1:75)&gt;COUNT(Dong1),"",IF(OFFSET(TH!M$1,SMALL(Dong1,ROWS($1:75)),)="1111",OFFSET(TH!L$1,SMALL(Dong1,ROWS($1:75)),),OFFSET(TH!M$1,SMALL(Dong1,ROWS($1:75)),)))</f>
        <v>331</v>
      </c>
      <c r="G88" s="87">
        <f ca="1">IF(ROWS($1:75)&gt;COUNT(Dong1),"",IF(OFFSET(TH!L$1,SMALL(Dong1,ROWS($1:75)),)="1111",OFFSET(TH!K$1,SMALL(Dong1,ROWS($1:75)),),0))</f>
        <v>0</v>
      </c>
      <c r="H88" s="85">
        <f ca="1">IF(ROWS($1:75)&gt;COUNT(Dong1),"",IF(OFFSET(TH!M$1,SMALL(Dong1,ROWS($1:75)),)="1111",OFFSET(TH!K$1,SMALL(Dong1,ROWS($1:75)),),0))</f>
        <v>6116000</v>
      </c>
      <c r="I88" s="83">
        <f t="shared" ref="I88:I115" ca="1" si="4">IF(E88&lt;&gt;"",I87+G88-H88,0)</f>
        <v>2001513541</v>
      </c>
      <c r="J88" s="88"/>
    </row>
    <row r="89" spans="1:10" ht="21.75" customHeight="1">
      <c r="A89" s="82">
        <f ca="1">IF(ROWS($1:76)&gt;COUNT(Dong1),"",OFFSET(TH!C$1,SMALL(Dong1,ROWS($1:76)),))</f>
        <v>42723</v>
      </c>
      <c r="B89" s="82">
        <f ca="1">IF(ROWS($1:76)&gt;COUNT(Dong1),"",OFFSET(TH!E$1,SMALL(Dong1,ROWS($1:76)),))</f>
        <v>42723</v>
      </c>
      <c r="C89" s="83" t="str">
        <f ca="1">IF(ROWS($1:76)&gt;COUNT(Dong1),"",IF(OFFSET(TH!L$1,SMALL(Dong1,ROWS($1:76)),)="1111",OFFSET(TH!D$1,SMALL(Dong1,ROWS($1:76)),),""))</f>
        <v/>
      </c>
      <c r="D89" s="84" t="str">
        <f ca="1">IF(ROWS($1:76)&gt;COUNT(Dong1),"",IF(OFFSET(TH!M$1,SMALL(Dong1,ROWS($1:76)),)="1111",OFFSET(TH!D$1,SMALL(Dong1,ROWS($1:76)),),""))</f>
        <v>C28</v>
      </c>
      <c r="E89" s="128" t="str">
        <f ca="1">IF(ROWS($1:76)&gt;COUNT(Dong1),"",OFFSET(TH!F$1,SMALL(Dong1,ROWS($1:76)),))</f>
        <v>Nộp tiền mặt</v>
      </c>
      <c r="F89" s="86" t="str">
        <f ca="1">IF(ROWS($1:76)&gt;COUNT(Dong1),"",IF(OFFSET(TH!M$1,SMALL(Dong1,ROWS($1:76)),)="1111",OFFSET(TH!L$1,SMALL(Dong1,ROWS($1:76)),),OFFSET(TH!M$1,SMALL(Dong1,ROWS($1:76)),)))</f>
        <v>1121</v>
      </c>
      <c r="G89" s="87">
        <f ca="1">IF(ROWS($1:76)&gt;COUNT(Dong1),"",IF(OFFSET(TH!L$1,SMALL(Dong1,ROWS($1:76)),)="1111",OFFSET(TH!K$1,SMALL(Dong1,ROWS($1:76)),),0))</f>
        <v>0</v>
      </c>
      <c r="H89" s="85">
        <f ca="1">IF(ROWS($1:76)&gt;COUNT(Dong1),"",IF(OFFSET(TH!M$1,SMALL(Dong1,ROWS($1:76)),)="1111",OFFSET(TH!K$1,SMALL(Dong1,ROWS($1:76)),),0))</f>
        <v>11400000</v>
      </c>
      <c r="I89" s="83">
        <f t="shared" ca="1" si="4"/>
        <v>1990113541</v>
      </c>
      <c r="J89" s="88"/>
    </row>
    <row r="90" spans="1:10" ht="21.75" customHeight="1">
      <c r="A90" s="82">
        <f ca="1">IF(ROWS($1:77)&gt;COUNT(Dong1),"",OFFSET(TH!C$1,SMALL(Dong1,ROWS($1:77)),))</f>
        <v>42723</v>
      </c>
      <c r="B90" s="82">
        <f ca="1">IF(ROWS($1:77)&gt;COUNT(Dong1),"",OFFSET(TH!E$1,SMALL(Dong1,ROWS($1:77)),))</f>
        <v>42723</v>
      </c>
      <c r="C90" s="83" t="str">
        <f ca="1">IF(ROWS($1:77)&gt;COUNT(Dong1),"",IF(OFFSET(TH!L$1,SMALL(Dong1,ROWS($1:77)),)="1111",OFFSET(TH!D$1,SMALL(Dong1,ROWS($1:77)),),""))</f>
        <v>T37</v>
      </c>
      <c r="D90" s="84" t="str">
        <f ca="1">IF(ROWS($1:77)&gt;COUNT(Dong1),"",IF(OFFSET(TH!M$1,SMALL(Dong1,ROWS($1:77)),)="1111",OFFSET(TH!D$1,SMALL(Dong1,ROWS($1:77)),),""))</f>
        <v/>
      </c>
      <c r="E90" s="128" t="str">
        <f ca="1">IF(ROWS($1:77)&gt;COUNT(Dong1),"",OFFSET(TH!F$1,SMALL(Dong1,ROWS($1:77)),))</f>
        <v>Thu tiền hàng</v>
      </c>
      <c r="F90" s="86" t="str">
        <f ca="1">IF(ROWS($1:77)&gt;COUNT(Dong1),"",IF(OFFSET(TH!M$1,SMALL(Dong1,ROWS($1:77)),)="1111",OFFSET(TH!L$1,SMALL(Dong1,ROWS($1:77)),),OFFSET(TH!M$1,SMALL(Dong1,ROWS($1:77)),)))</f>
        <v>131</v>
      </c>
      <c r="G90" s="87">
        <f ca="1">IF(ROWS($1:77)&gt;COUNT(Dong1),"",IF(OFFSET(TH!L$1,SMALL(Dong1,ROWS($1:77)),)="1111",OFFSET(TH!K$1,SMALL(Dong1,ROWS($1:77)),),0))</f>
        <v>19800000</v>
      </c>
      <c r="H90" s="85">
        <f ca="1">IF(ROWS($1:77)&gt;COUNT(Dong1),"",IF(OFFSET(TH!M$1,SMALL(Dong1,ROWS($1:77)),)="1111",OFFSET(TH!K$1,SMALL(Dong1,ROWS($1:77)),),0))</f>
        <v>0</v>
      </c>
      <c r="I90" s="83">
        <f t="shared" ca="1" si="4"/>
        <v>2009913541</v>
      </c>
      <c r="J90" s="88"/>
    </row>
    <row r="91" spans="1:10" ht="21.75" customHeight="1">
      <c r="A91" s="82">
        <f ca="1">IF(ROWS($1:78)&gt;COUNT(Dong1),"",OFFSET(TH!C$1,SMALL(Dong1,ROWS($1:78)),))</f>
        <v>42724</v>
      </c>
      <c r="B91" s="82">
        <f ca="1">IF(ROWS($1:78)&gt;COUNT(Dong1),"",OFFSET(TH!E$1,SMALL(Dong1,ROWS($1:78)),))</f>
        <v>42724</v>
      </c>
      <c r="C91" s="83" t="str">
        <f ca="1">IF(ROWS($1:78)&gt;COUNT(Dong1),"",IF(OFFSET(TH!L$1,SMALL(Dong1,ROWS($1:78)),)="1111",OFFSET(TH!D$1,SMALL(Dong1,ROWS($1:78)),),""))</f>
        <v/>
      </c>
      <c r="D91" s="84" t="str">
        <f ca="1">IF(ROWS($1:78)&gt;COUNT(Dong1),"",IF(OFFSET(TH!M$1,SMALL(Dong1,ROWS($1:78)),)="1111",OFFSET(TH!D$1,SMALL(Dong1,ROWS($1:78)),),""))</f>
        <v>C29</v>
      </c>
      <c r="E91" s="128" t="str">
        <f ca="1">IF(ROWS($1:78)&gt;COUNT(Dong1),"",OFFSET(TH!F$1,SMALL(Dong1,ROWS($1:78)),))</f>
        <v>Nộp tiền mặt</v>
      </c>
      <c r="F91" s="86" t="str">
        <f ca="1">IF(ROWS($1:78)&gt;COUNT(Dong1),"",IF(OFFSET(TH!M$1,SMALL(Dong1,ROWS($1:78)),)="1111",OFFSET(TH!L$1,SMALL(Dong1,ROWS($1:78)),),OFFSET(TH!M$1,SMALL(Dong1,ROWS($1:78)),)))</f>
        <v>1121</v>
      </c>
      <c r="G91" s="87">
        <f ca="1">IF(ROWS($1:78)&gt;COUNT(Dong1),"",IF(OFFSET(TH!L$1,SMALL(Dong1,ROWS($1:78)),)="1111",OFFSET(TH!K$1,SMALL(Dong1,ROWS($1:78)),),0))</f>
        <v>0</v>
      </c>
      <c r="H91" s="85">
        <f ca="1">IF(ROWS($1:78)&gt;COUNT(Dong1),"",IF(OFFSET(TH!M$1,SMALL(Dong1,ROWS($1:78)),)="1111",OFFSET(TH!K$1,SMALL(Dong1,ROWS($1:78)),),0))</f>
        <v>30000000</v>
      </c>
      <c r="I91" s="83">
        <f t="shared" ca="1" si="4"/>
        <v>1979913541</v>
      </c>
      <c r="J91" s="88"/>
    </row>
    <row r="92" spans="1:10" ht="21.75" customHeight="1">
      <c r="A92" s="82">
        <f ca="1">IF(ROWS($1:79)&gt;COUNT(Dong1),"",OFFSET(TH!C$1,SMALL(Dong1,ROWS($1:79)),))</f>
        <v>42724</v>
      </c>
      <c r="B92" s="82">
        <f ca="1">IF(ROWS($1:79)&gt;COUNT(Dong1),"",OFFSET(TH!E$1,SMALL(Dong1,ROWS($1:79)),))</f>
        <v>42724</v>
      </c>
      <c r="C92" s="83" t="str">
        <f ca="1">IF(ROWS($1:79)&gt;COUNT(Dong1),"",IF(OFFSET(TH!L$1,SMALL(Dong1,ROWS($1:79)),)="1111",OFFSET(TH!D$1,SMALL(Dong1,ROWS($1:79)),),""))</f>
        <v>T38</v>
      </c>
      <c r="D92" s="84" t="str">
        <f ca="1">IF(ROWS($1:79)&gt;COUNT(Dong1),"",IF(OFFSET(TH!M$1,SMALL(Dong1,ROWS($1:79)),)="1111",OFFSET(TH!D$1,SMALL(Dong1,ROWS($1:79)),),""))</f>
        <v/>
      </c>
      <c r="E92" s="128" t="str">
        <f ca="1">IF(ROWS($1:79)&gt;COUNT(Dong1),"",OFFSET(TH!F$1,SMALL(Dong1,ROWS($1:79)),))</f>
        <v>Thu tiền hàng</v>
      </c>
      <c r="F92" s="86" t="str">
        <f ca="1">IF(ROWS($1:79)&gt;COUNT(Dong1),"",IF(OFFSET(TH!M$1,SMALL(Dong1,ROWS($1:79)),)="1111",OFFSET(TH!L$1,SMALL(Dong1,ROWS($1:79)),),OFFSET(TH!M$1,SMALL(Dong1,ROWS($1:79)),)))</f>
        <v>131</v>
      </c>
      <c r="G92" s="87">
        <f ca="1">IF(ROWS($1:79)&gt;COUNT(Dong1),"",IF(OFFSET(TH!L$1,SMALL(Dong1,ROWS($1:79)),)="1111",OFFSET(TH!K$1,SMALL(Dong1,ROWS($1:79)),),0))</f>
        <v>19800000</v>
      </c>
      <c r="H92" s="85">
        <f ca="1">IF(ROWS($1:79)&gt;COUNT(Dong1),"",IF(OFFSET(TH!M$1,SMALL(Dong1,ROWS($1:79)),)="1111",OFFSET(TH!K$1,SMALL(Dong1,ROWS($1:79)),),0))</f>
        <v>0</v>
      </c>
      <c r="I92" s="83">
        <f t="shared" ca="1" si="4"/>
        <v>1999713541</v>
      </c>
      <c r="J92" s="88"/>
    </row>
    <row r="93" spans="1:10" ht="21.75" customHeight="1">
      <c r="A93" s="82">
        <f ca="1">IF(ROWS($1:80)&gt;COUNT(Dong1),"",OFFSET(TH!C$1,SMALL(Dong1,ROWS($1:80)),))</f>
        <v>42725</v>
      </c>
      <c r="B93" s="82">
        <f ca="1">IF(ROWS($1:80)&gt;COUNT(Dong1),"",OFFSET(TH!E$1,SMALL(Dong1,ROWS($1:80)),))</f>
        <v>42725</v>
      </c>
      <c r="C93" s="83" t="str">
        <f ca="1">IF(ROWS($1:80)&gt;COUNT(Dong1),"",IF(OFFSET(TH!L$1,SMALL(Dong1,ROWS($1:80)),)="1111",OFFSET(TH!D$1,SMALL(Dong1,ROWS($1:80)),),""))</f>
        <v>T39</v>
      </c>
      <c r="D93" s="84" t="str">
        <f ca="1">IF(ROWS($1:80)&gt;COUNT(Dong1),"",IF(OFFSET(TH!M$1,SMALL(Dong1,ROWS($1:80)),)="1111",OFFSET(TH!D$1,SMALL(Dong1,ROWS($1:80)),),""))</f>
        <v/>
      </c>
      <c r="E93" s="128" t="str">
        <f ca="1">IF(ROWS($1:80)&gt;COUNT(Dong1),"",OFFSET(TH!F$1,SMALL(Dong1,ROWS($1:80)),))</f>
        <v>Thu tiền hàng</v>
      </c>
      <c r="F93" s="86" t="str">
        <f ca="1">IF(ROWS($1:80)&gt;COUNT(Dong1),"",IF(OFFSET(TH!M$1,SMALL(Dong1,ROWS($1:80)),)="1111",OFFSET(TH!L$1,SMALL(Dong1,ROWS($1:80)),),OFFSET(TH!M$1,SMALL(Dong1,ROWS($1:80)),)))</f>
        <v>131</v>
      </c>
      <c r="G93" s="87">
        <f ca="1">IF(ROWS($1:80)&gt;COUNT(Dong1),"",IF(OFFSET(TH!L$1,SMALL(Dong1,ROWS($1:80)),)="1111",OFFSET(TH!K$1,SMALL(Dong1,ROWS($1:80)),),0))</f>
        <v>19800000</v>
      </c>
      <c r="H93" s="85">
        <f ca="1">IF(ROWS($1:80)&gt;COUNT(Dong1),"",IF(OFFSET(TH!M$1,SMALL(Dong1,ROWS($1:80)),)="1111",OFFSET(TH!K$1,SMALL(Dong1,ROWS($1:80)),),0))</f>
        <v>0</v>
      </c>
      <c r="I93" s="83">
        <f t="shared" ca="1" si="4"/>
        <v>2019513541</v>
      </c>
      <c r="J93" s="88"/>
    </row>
    <row r="94" spans="1:10" ht="21.75" customHeight="1">
      <c r="A94" s="82">
        <f ca="1">IF(ROWS($1:81)&gt;COUNT(Dong1),"",OFFSET(TH!C$1,SMALL(Dong1,ROWS($1:81)),))</f>
        <v>42726</v>
      </c>
      <c r="B94" s="82">
        <f ca="1">IF(ROWS($1:81)&gt;COUNT(Dong1),"",OFFSET(TH!E$1,SMALL(Dong1,ROWS($1:81)),))</f>
        <v>42726</v>
      </c>
      <c r="C94" s="83" t="str">
        <f ca="1">IF(ROWS($1:81)&gt;COUNT(Dong1),"",IF(OFFSET(TH!L$1,SMALL(Dong1,ROWS($1:81)),)="1111",OFFSET(TH!D$1,SMALL(Dong1,ROWS($1:81)),),""))</f>
        <v>T40</v>
      </c>
      <c r="D94" s="84" t="str">
        <f ca="1">IF(ROWS($1:81)&gt;COUNT(Dong1),"",IF(OFFSET(TH!M$1,SMALL(Dong1,ROWS($1:81)),)="1111",OFFSET(TH!D$1,SMALL(Dong1,ROWS($1:81)),),""))</f>
        <v/>
      </c>
      <c r="E94" s="128" t="str">
        <f ca="1">IF(ROWS($1:81)&gt;COUNT(Dong1),"",OFFSET(TH!F$1,SMALL(Dong1,ROWS($1:81)),))</f>
        <v>Rút tiền mặt</v>
      </c>
      <c r="F94" s="86" t="str">
        <f ca="1">IF(ROWS($1:81)&gt;COUNT(Dong1),"",IF(OFFSET(TH!M$1,SMALL(Dong1,ROWS($1:81)),)="1111",OFFSET(TH!L$1,SMALL(Dong1,ROWS($1:81)),),OFFSET(TH!M$1,SMALL(Dong1,ROWS($1:81)),)))</f>
        <v>1121</v>
      </c>
      <c r="G94" s="87">
        <f ca="1">IF(ROWS($1:81)&gt;COUNT(Dong1),"",IF(OFFSET(TH!L$1,SMALL(Dong1,ROWS($1:81)),)="1111",OFFSET(TH!K$1,SMALL(Dong1,ROWS($1:81)),),0))</f>
        <v>11300000</v>
      </c>
      <c r="H94" s="85">
        <f ca="1">IF(ROWS($1:81)&gt;COUNT(Dong1),"",IF(OFFSET(TH!M$1,SMALL(Dong1,ROWS($1:81)),)="1111",OFFSET(TH!K$1,SMALL(Dong1,ROWS($1:81)),),0))</f>
        <v>0</v>
      </c>
      <c r="I94" s="83">
        <f t="shared" ca="1" si="4"/>
        <v>2030813541</v>
      </c>
      <c r="J94" s="88"/>
    </row>
    <row r="95" spans="1:10" ht="21.75" customHeight="1">
      <c r="A95" s="82">
        <f ca="1">IF(ROWS($1:82)&gt;COUNT(Dong1),"",OFFSET(TH!C$1,SMALL(Dong1,ROWS($1:82)),))</f>
        <v>42726</v>
      </c>
      <c r="B95" s="82">
        <f ca="1">IF(ROWS($1:82)&gt;COUNT(Dong1),"",OFFSET(TH!E$1,SMALL(Dong1,ROWS($1:82)),))</f>
        <v>42726</v>
      </c>
      <c r="C95" s="83" t="str">
        <f ca="1">IF(ROWS($1:82)&gt;COUNT(Dong1),"",IF(OFFSET(TH!L$1,SMALL(Dong1,ROWS($1:82)),)="1111",OFFSET(TH!D$1,SMALL(Dong1,ROWS($1:82)),),""))</f>
        <v>T41</v>
      </c>
      <c r="D95" s="84" t="str">
        <f ca="1">IF(ROWS($1:82)&gt;COUNT(Dong1),"",IF(OFFSET(TH!M$1,SMALL(Dong1,ROWS($1:82)),)="1111",OFFSET(TH!D$1,SMALL(Dong1,ROWS($1:82)),),""))</f>
        <v/>
      </c>
      <c r="E95" s="128" t="str">
        <f ca="1">IF(ROWS($1:82)&gt;COUNT(Dong1),"",OFFSET(TH!F$1,SMALL(Dong1,ROWS($1:82)),))</f>
        <v>Thu tiền hàng</v>
      </c>
      <c r="F95" s="86" t="str">
        <f ca="1">IF(ROWS($1:82)&gt;COUNT(Dong1),"",IF(OFFSET(TH!M$1,SMALL(Dong1,ROWS($1:82)),)="1111",OFFSET(TH!L$1,SMALL(Dong1,ROWS($1:82)),),OFFSET(TH!M$1,SMALL(Dong1,ROWS($1:82)),)))</f>
        <v>131</v>
      </c>
      <c r="G95" s="87">
        <f ca="1">IF(ROWS($1:82)&gt;COUNT(Dong1),"",IF(OFFSET(TH!L$1,SMALL(Dong1,ROWS($1:82)),)="1111",OFFSET(TH!K$1,SMALL(Dong1,ROWS($1:82)),),0))</f>
        <v>4537500</v>
      </c>
      <c r="H95" s="85">
        <f ca="1">IF(ROWS($1:82)&gt;COUNT(Dong1),"",IF(OFFSET(TH!M$1,SMALL(Dong1,ROWS($1:82)),)="1111",OFFSET(TH!K$1,SMALL(Dong1,ROWS($1:82)),),0))</f>
        <v>0</v>
      </c>
      <c r="I95" s="83">
        <f t="shared" ca="1" si="4"/>
        <v>2035351041</v>
      </c>
      <c r="J95" s="88"/>
    </row>
    <row r="96" spans="1:10" ht="21.75" customHeight="1">
      <c r="A96" s="82">
        <f ca="1">IF(ROWS($1:83)&gt;COUNT(Dong1),"",OFFSET(TH!C$1,SMALL(Dong1,ROWS($1:83)),))</f>
        <v>42727</v>
      </c>
      <c r="B96" s="82">
        <f ca="1">IF(ROWS($1:83)&gt;COUNT(Dong1),"",OFFSET(TH!E$1,SMALL(Dong1,ROWS($1:83)),))</f>
        <v>42727</v>
      </c>
      <c r="C96" s="83" t="str">
        <f ca="1">IF(ROWS($1:83)&gt;COUNT(Dong1),"",IF(OFFSET(TH!L$1,SMALL(Dong1,ROWS($1:83)),)="1111",OFFSET(TH!D$1,SMALL(Dong1,ROWS($1:83)),),""))</f>
        <v>T42</v>
      </c>
      <c r="D96" s="84" t="str">
        <f ca="1">IF(ROWS($1:83)&gt;COUNT(Dong1),"",IF(OFFSET(TH!M$1,SMALL(Dong1,ROWS($1:83)),)="1111",OFFSET(TH!D$1,SMALL(Dong1,ROWS($1:83)),),""))</f>
        <v/>
      </c>
      <c r="E96" s="128" t="str">
        <f ca="1">IF(ROWS($1:83)&gt;COUNT(Dong1),"",OFFSET(TH!F$1,SMALL(Dong1,ROWS($1:83)),))</f>
        <v>Thu tiền hàng</v>
      </c>
      <c r="F96" s="86" t="str">
        <f ca="1">IF(ROWS($1:83)&gt;COUNT(Dong1),"",IF(OFFSET(TH!M$1,SMALL(Dong1,ROWS($1:83)),)="1111",OFFSET(TH!L$1,SMALL(Dong1,ROWS($1:83)),),OFFSET(TH!M$1,SMALL(Dong1,ROWS($1:83)),)))</f>
        <v>131</v>
      </c>
      <c r="G96" s="87">
        <f ca="1">IF(ROWS($1:83)&gt;COUNT(Dong1),"",IF(OFFSET(TH!L$1,SMALL(Dong1,ROWS($1:83)),)="1111",OFFSET(TH!K$1,SMALL(Dong1,ROWS($1:83)),),0))</f>
        <v>19800000</v>
      </c>
      <c r="H96" s="85">
        <f ca="1">IF(ROWS($1:83)&gt;COUNT(Dong1),"",IF(OFFSET(TH!M$1,SMALL(Dong1,ROWS($1:83)),)="1111",OFFSET(TH!K$1,SMALL(Dong1,ROWS($1:83)),),0))</f>
        <v>0</v>
      </c>
      <c r="I96" s="83">
        <f t="shared" ca="1" si="4"/>
        <v>2055151041</v>
      </c>
      <c r="J96" s="88"/>
    </row>
    <row r="97" spans="1:10" ht="21.75" customHeight="1">
      <c r="A97" s="82">
        <f ca="1">IF(ROWS($1:84)&gt;COUNT(Dong1),"",OFFSET(TH!C$1,SMALL(Dong1,ROWS($1:84)),))</f>
        <v>42728</v>
      </c>
      <c r="B97" s="82">
        <f ca="1">IF(ROWS($1:84)&gt;COUNT(Dong1),"",OFFSET(TH!E$1,SMALL(Dong1,ROWS($1:84)),))</f>
        <v>42728</v>
      </c>
      <c r="C97" s="83" t="str">
        <f ca="1">IF(ROWS($1:84)&gt;COUNT(Dong1),"",IF(OFFSET(TH!L$1,SMALL(Dong1,ROWS($1:84)),)="1111",OFFSET(TH!D$1,SMALL(Dong1,ROWS($1:84)),),""))</f>
        <v>T43</v>
      </c>
      <c r="D97" s="84" t="str">
        <f ca="1">IF(ROWS($1:84)&gt;COUNT(Dong1),"",IF(OFFSET(TH!M$1,SMALL(Dong1,ROWS($1:84)),)="1111",OFFSET(TH!D$1,SMALL(Dong1,ROWS($1:84)),),""))</f>
        <v/>
      </c>
      <c r="E97" s="128" t="str">
        <f ca="1">IF(ROWS($1:84)&gt;COUNT(Dong1),"",OFFSET(TH!F$1,SMALL(Dong1,ROWS($1:84)),))</f>
        <v>Thu tiền hàng</v>
      </c>
      <c r="F97" s="86" t="str">
        <f ca="1">IF(ROWS($1:84)&gt;COUNT(Dong1),"",IF(OFFSET(TH!M$1,SMALL(Dong1,ROWS($1:84)),)="1111",OFFSET(TH!L$1,SMALL(Dong1,ROWS($1:84)),),OFFSET(TH!M$1,SMALL(Dong1,ROWS($1:84)),)))</f>
        <v>131</v>
      </c>
      <c r="G97" s="87">
        <f ca="1">IF(ROWS($1:84)&gt;COUNT(Dong1),"",IF(OFFSET(TH!L$1,SMALL(Dong1,ROWS($1:84)),)="1111",OFFSET(TH!K$1,SMALL(Dong1,ROWS($1:84)),),0))</f>
        <v>19800000</v>
      </c>
      <c r="H97" s="85">
        <f ca="1">IF(ROWS($1:84)&gt;COUNT(Dong1),"",IF(OFFSET(TH!M$1,SMALL(Dong1,ROWS($1:84)),)="1111",OFFSET(TH!K$1,SMALL(Dong1,ROWS($1:84)),),0))</f>
        <v>0</v>
      </c>
      <c r="I97" s="83">
        <f t="shared" ca="1" si="4"/>
        <v>2074951041</v>
      </c>
      <c r="J97" s="88"/>
    </row>
    <row r="98" spans="1:10" ht="21.75" customHeight="1">
      <c r="A98" s="82">
        <f ca="1">IF(ROWS($1:85)&gt;COUNT(Dong1),"",OFFSET(TH!C$1,SMALL(Dong1,ROWS($1:85)),))</f>
        <v>42729</v>
      </c>
      <c r="B98" s="82">
        <f ca="1">IF(ROWS($1:85)&gt;COUNT(Dong1),"",OFFSET(TH!E$1,SMALL(Dong1,ROWS($1:85)),))</f>
        <v>42729</v>
      </c>
      <c r="C98" s="83" t="str">
        <f ca="1">IF(ROWS($1:85)&gt;COUNT(Dong1),"",IF(OFFSET(TH!L$1,SMALL(Dong1,ROWS($1:85)),)="1111",OFFSET(TH!D$1,SMALL(Dong1,ROWS($1:85)),),""))</f>
        <v>T44</v>
      </c>
      <c r="D98" s="84" t="str">
        <f ca="1">IF(ROWS($1:85)&gt;COUNT(Dong1),"",IF(OFFSET(TH!M$1,SMALL(Dong1,ROWS($1:85)),)="1111",OFFSET(TH!D$1,SMALL(Dong1,ROWS($1:85)),),""))</f>
        <v/>
      </c>
      <c r="E98" s="128" t="str">
        <f ca="1">IF(ROWS($1:85)&gt;COUNT(Dong1),"",OFFSET(TH!F$1,SMALL(Dong1,ROWS($1:85)),))</f>
        <v>Thu tiền hàng</v>
      </c>
      <c r="F98" s="86" t="str">
        <f ca="1">IF(ROWS($1:85)&gt;COUNT(Dong1),"",IF(OFFSET(TH!M$1,SMALL(Dong1,ROWS($1:85)),)="1111",OFFSET(TH!L$1,SMALL(Dong1,ROWS($1:85)),),OFFSET(TH!M$1,SMALL(Dong1,ROWS($1:85)),)))</f>
        <v>131</v>
      </c>
      <c r="G98" s="87">
        <f ca="1">IF(ROWS($1:85)&gt;COUNT(Dong1),"",IF(OFFSET(TH!L$1,SMALL(Dong1,ROWS($1:85)),)="1111",OFFSET(TH!K$1,SMALL(Dong1,ROWS($1:85)),),0))</f>
        <v>19800000</v>
      </c>
      <c r="H98" s="85">
        <f ca="1">IF(ROWS($1:85)&gt;COUNT(Dong1),"",IF(OFFSET(TH!M$1,SMALL(Dong1,ROWS($1:85)),)="1111",OFFSET(TH!K$1,SMALL(Dong1,ROWS($1:85)),),0))</f>
        <v>0</v>
      </c>
      <c r="I98" s="83">
        <f t="shared" ca="1" si="4"/>
        <v>2094751041</v>
      </c>
      <c r="J98" s="88"/>
    </row>
    <row r="99" spans="1:10" ht="21.75" customHeight="1">
      <c r="A99" s="82">
        <f ca="1">IF(ROWS($1:86)&gt;COUNT(Dong1),"",OFFSET(TH!C$1,SMALL(Dong1,ROWS($1:86)),))</f>
        <v>42730</v>
      </c>
      <c r="B99" s="82">
        <f ca="1">IF(ROWS($1:86)&gt;COUNT(Dong1),"",OFFSET(TH!E$1,SMALL(Dong1,ROWS($1:86)),))</f>
        <v>42730</v>
      </c>
      <c r="C99" s="83" t="str">
        <f ca="1">IF(ROWS($1:86)&gt;COUNT(Dong1),"",IF(OFFSET(TH!L$1,SMALL(Dong1,ROWS($1:86)),)="1111",OFFSET(TH!D$1,SMALL(Dong1,ROWS($1:86)),),""))</f>
        <v/>
      </c>
      <c r="D99" s="84" t="str">
        <f ca="1">IF(ROWS($1:86)&gt;COUNT(Dong1),"",IF(OFFSET(TH!M$1,SMALL(Dong1,ROWS($1:86)),)="1111",OFFSET(TH!D$1,SMALL(Dong1,ROWS($1:86)),),""))</f>
        <v>C30</v>
      </c>
      <c r="E99" s="128" t="str">
        <f ca="1">IF(ROWS($1:86)&gt;COUNT(Dong1),"",OFFSET(TH!F$1,SMALL(Dong1,ROWS($1:86)),))</f>
        <v>Dầu DO</v>
      </c>
      <c r="F99" s="86" t="str">
        <f ca="1">IF(ROWS($1:86)&gt;COUNT(Dong1),"",IF(OFFSET(TH!M$1,SMALL(Dong1,ROWS($1:86)),)="1111",OFFSET(TH!L$1,SMALL(Dong1,ROWS($1:86)),),OFFSET(TH!M$1,SMALL(Dong1,ROWS($1:86)),)))</f>
        <v>641</v>
      </c>
      <c r="G99" s="87">
        <f ca="1">IF(ROWS($1:86)&gt;COUNT(Dong1),"",IF(OFFSET(TH!L$1,SMALL(Dong1,ROWS($1:86)),)="1111",OFFSET(TH!K$1,SMALL(Dong1,ROWS($1:86)),),0))</f>
        <v>0</v>
      </c>
      <c r="H99" s="85">
        <f ca="1">IF(ROWS($1:86)&gt;COUNT(Dong1),"",IF(OFFSET(TH!M$1,SMALL(Dong1,ROWS($1:86)),)="1111",OFFSET(TH!K$1,SMALL(Dong1,ROWS($1:86)),),0))</f>
        <v>5005727</v>
      </c>
      <c r="I99" s="83">
        <f t="shared" ca="1" si="4"/>
        <v>2089745314</v>
      </c>
      <c r="J99" s="88"/>
    </row>
    <row r="100" spans="1:10" ht="21.75" customHeight="1">
      <c r="A100" s="82">
        <f ca="1">IF(ROWS($1:87)&gt;COUNT(Dong1),"",OFFSET(TH!C$1,SMALL(Dong1,ROWS($1:87)),))</f>
        <v>42730</v>
      </c>
      <c r="B100" s="82">
        <f ca="1">IF(ROWS($1:87)&gt;COUNT(Dong1),"",OFFSET(TH!E$1,SMALL(Dong1,ROWS($1:87)),))</f>
        <v>42730</v>
      </c>
      <c r="C100" s="83" t="str">
        <f ca="1">IF(ROWS($1:87)&gt;COUNT(Dong1),"",IF(OFFSET(TH!L$1,SMALL(Dong1,ROWS($1:87)),)="1111",OFFSET(TH!D$1,SMALL(Dong1,ROWS($1:87)),),""))</f>
        <v/>
      </c>
      <c r="D100" s="84" t="str">
        <f ca="1">IF(ROWS($1:87)&gt;COUNT(Dong1),"",IF(OFFSET(TH!M$1,SMALL(Dong1,ROWS($1:87)),)="1111",OFFSET(TH!D$1,SMALL(Dong1,ROWS($1:87)),),""))</f>
        <v>C30</v>
      </c>
      <c r="E100" s="128" t="str">
        <f ca="1">IF(ROWS($1:87)&gt;COUNT(Dong1),"",OFFSET(TH!F$1,SMALL(Dong1,ROWS($1:87)),))</f>
        <v>VAT Dầu DO</v>
      </c>
      <c r="F100" s="86" t="str">
        <f ca="1">IF(ROWS($1:87)&gt;COUNT(Dong1),"",IF(OFFSET(TH!M$1,SMALL(Dong1,ROWS($1:87)),)="1111",OFFSET(TH!L$1,SMALL(Dong1,ROWS($1:87)),),OFFSET(TH!M$1,SMALL(Dong1,ROWS($1:87)),)))</f>
        <v>1331</v>
      </c>
      <c r="G100" s="87">
        <f ca="1">IF(ROWS($1:87)&gt;COUNT(Dong1),"",IF(OFFSET(TH!L$1,SMALL(Dong1,ROWS($1:87)),)="1111",OFFSET(TH!K$1,SMALL(Dong1,ROWS($1:87)),),0))</f>
        <v>0</v>
      </c>
      <c r="H100" s="85">
        <f ca="1">IF(ROWS($1:87)&gt;COUNT(Dong1),"",IF(OFFSET(TH!M$1,SMALL(Dong1,ROWS($1:87)),)="1111",OFFSET(TH!K$1,SMALL(Dong1,ROWS($1:87)),),0))</f>
        <v>500573</v>
      </c>
      <c r="I100" s="83">
        <f t="shared" ca="1" si="4"/>
        <v>2089244741</v>
      </c>
      <c r="J100" s="88"/>
    </row>
    <row r="101" spans="1:10" ht="21.75" customHeight="1">
      <c r="A101" s="82">
        <f ca="1">IF(ROWS($1:88)&gt;COUNT(Dong1),"",OFFSET(TH!C$1,SMALL(Dong1,ROWS($1:88)),))</f>
        <v>42730</v>
      </c>
      <c r="B101" s="82">
        <f ca="1">IF(ROWS($1:88)&gt;COUNT(Dong1),"",OFFSET(TH!E$1,SMALL(Dong1,ROWS($1:88)),))</f>
        <v>42730</v>
      </c>
      <c r="C101" s="83" t="str">
        <f ca="1">IF(ROWS($1:88)&gt;COUNT(Dong1),"",IF(OFFSET(TH!L$1,SMALL(Dong1,ROWS($1:88)),)="1111",OFFSET(TH!D$1,SMALL(Dong1,ROWS($1:88)),),""))</f>
        <v/>
      </c>
      <c r="D101" s="84" t="str">
        <f ca="1">IF(ROWS($1:88)&gt;COUNT(Dong1),"",IF(OFFSET(TH!M$1,SMALL(Dong1,ROWS($1:88)),)="1111",OFFSET(TH!D$1,SMALL(Dong1,ROWS($1:88)),),""))</f>
        <v>C31</v>
      </c>
      <c r="E101" s="128" t="str">
        <f ca="1">IF(ROWS($1:88)&gt;COUNT(Dong1),"",OFFSET(TH!F$1,SMALL(Dong1,ROWS($1:88)),))</f>
        <v>Thanh toán tiền hàng</v>
      </c>
      <c r="F101" s="86" t="str">
        <f ca="1">IF(ROWS($1:88)&gt;COUNT(Dong1),"",IF(OFFSET(TH!M$1,SMALL(Dong1,ROWS($1:88)),)="1111",OFFSET(TH!L$1,SMALL(Dong1,ROWS($1:88)),),OFFSET(TH!M$1,SMALL(Dong1,ROWS($1:88)),)))</f>
        <v>331</v>
      </c>
      <c r="G101" s="87">
        <f ca="1">IF(ROWS($1:88)&gt;COUNT(Dong1),"",IF(OFFSET(TH!L$1,SMALL(Dong1,ROWS($1:88)),)="1111",OFFSET(TH!K$1,SMALL(Dong1,ROWS($1:88)),),0))</f>
        <v>0</v>
      </c>
      <c r="H101" s="85">
        <f ca="1">IF(ROWS($1:88)&gt;COUNT(Dong1),"",IF(OFFSET(TH!M$1,SMALL(Dong1,ROWS($1:88)),)="1111",OFFSET(TH!K$1,SMALL(Dong1,ROWS($1:88)),),0))</f>
        <v>10340000</v>
      </c>
      <c r="I101" s="83">
        <f t="shared" ca="1" si="4"/>
        <v>2078904741</v>
      </c>
      <c r="J101" s="88"/>
    </row>
    <row r="102" spans="1:10" ht="21.75" customHeight="1">
      <c r="A102" s="82">
        <f ca="1">IF(ROWS($1:89)&gt;COUNT(Dong1),"",OFFSET(TH!C$1,SMALL(Dong1,ROWS($1:89)),))</f>
        <v>42730</v>
      </c>
      <c r="B102" s="82">
        <f ca="1">IF(ROWS($1:89)&gt;COUNT(Dong1),"",OFFSET(TH!E$1,SMALL(Dong1,ROWS($1:89)),))</f>
        <v>42730</v>
      </c>
      <c r="C102" s="83" t="str">
        <f ca="1">IF(ROWS($1:89)&gt;COUNT(Dong1),"",IF(OFFSET(TH!L$1,SMALL(Dong1,ROWS($1:89)),)="1111",OFFSET(TH!D$1,SMALL(Dong1,ROWS($1:89)),),""))</f>
        <v>T45</v>
      </c>
      <c r="D102" s="84" t="str">
        <f ca="1">IF(ROWS($1:89)&gt;COUNT(Dong1),"",IF(OFFSET(TH!M$1,SMALL(Dong1,ROWS($1:89)),)="1111",OFFSET(TH!D$1,SMALL(Dong1,ROWS($1:89)),),""))</f>
        <v/>
      </c>
      <c r="E102" s="128" t="str">
        <f ca="1">IF(ROWS($1:89)&gt;COUNT(Dong1),"",OFFSET(TH!F$1,SMALL(Dong1,ROWS($1:89)),))</f>
        <v>Thu tiền hàng</v>
      </c>
      <c r="F102" s="86" t="str">
        <f ca="1">IF(ROWS($1:89)&gt;COUNT(Dong1),"",IF(OFFSET(TH!M$1,SMALL(Dong1,ROWS($1:89)),)="1111",OFFSET(TH!L$1,SMALL(Dong1,ROWS($1:89)),),OFFSET(TH!M$1,SMALL(Dong1,ROWS($1:89)),)))</f>
        <v>131</v>
      </c>
      <c r="G102" s="87">
        <f ca="1">IF(ROWS($1:89)&gt;COUNT(Dong1),"",IF(OFFSET(TH!L$1,SMALL(Dong1,ROWS($1:89)),)="1111",OFFSET(TH!K$1,SMALL(Dong1,ROWS($1:89)),),0))</f>
        <v>9900000</v>
      </c>
      <c r="H102" s="85">
        <f ca="1">IF(ROWS($1:89)&gt;COUNT(Dong1),"",IF(OFFSET(TH!M$1,SMALL(Dong1,ROWS($1:89)),)="1111",OFFSET(TH!K$1,SMALL(Dong1,ROWS($1:89)),),0))</f>
        <v>0</v>
      </c>
      <c r="I102" s="83">
        <f t="shared" ca="1" si="4"/>
        <v>2088804741</v>
      </c>
      <c r="J102" s="88"/>
    </row>
    <row r="103" spans="1:10" ht="21.75" customHeight="1">
      <c r="A103" s="82">
        <f ca="1">IF(ROWS($1:90)&gt;COUNT(Dong1),"",OFFSET(TH!C$1,SMALL(Dong1,ROWS($1:90)),))</f>
        <v>42731</v>
      </c>
      <c r="B103" s="82">
        <f ca="1">IF(ROWS($1:90)&gt;COUNT(Dong1),"",OFFSET(TH!E$1,SMALL(Dong1,ROWS($1:90)),))</f>
        <v>42731</v>
      </c>
      <c r="C103" s="83" t="str">
        <f ca="1">IF(ROWS($1:90)&gt;COUNT(Dong1),"",IF(OFFSET(TH!L$1,SMALL(Dong1,ROWS($1:90)),)="1111",OFFSET(TH!D$1,SMALL(Dong1,ROWS($1:90)),),""))</f>
        <v/>
      </c>
      <c r="D103" s="84" t="str">
        <f ca="1">IF(ROWS($1:90)&gt;COUNT(Dong1),"",IF(OFFSET(TH!M$1,SMALL(Dong1,ROWS($1:90)),)="1111",OFFSET(TH!D$1,SMALL(Dong1,ROWS($1:90)),),""))</f>
        <v>C32</v>
      </c>
      <c r="E103" s="128" t="str">
        <f ca="1">IF(ROWS($1:90)&gt;COUNT(Dong1),"",OFFSET(TH!F$1,SMALL(Dong1,ROWS($1:90)),))</f>
        <v>Thanh toán tiền hàng</v>
      </c>
      <c r="F103" s="86" t="str">
        <f ca="1">IF(ROWS($1:90)&gt;COUNT(Dong1),"",IF(OFFSET(TH!M$1,SMALL(Dong1,ROWS($1:90)),)="1111",OFFSET(TH!L$1,SMALL(Dong1,ROWS($1:90)),),OFFSET(TH!M$1,SMALL(Dong1,ROWS($1:90)),)))</f>
        <v>331</v>
      </c>
      <c r="G103" s="87">
        <f ca="1">IF(ROWS($1:90)&gt;COUNT(Dong1),"",IF(OFFSET(TH!L$1,SMALL(Dong1,ROWS($1:90)),)="1111",OFFSET(TH!K$1,SMALL(Dong1,ROWS($1:90)),),0))</f>
        <v>0</v>
      </c>
      <c r="H103" s="85">
        <f ca="1">IF(ROWS($1:90)&gt;COUNT(Dong1),"",IF(OFFSET(TH!M$1,SMALL(Dong1,ROWS($1:90)),)="1111",OFFSET(TH!K$1,SMALL(Dong1,ROWS($1:90)),),0))</f>
        <v>19800000</v>
      </c>
      <c r="I103" s="83">
        <f t="shared" ca="1" si="4"/>
        <v>2069004741</v>
      </c>
      <c r="J103" s="88"/>
    </row>
    <row r="104" spans="1:10" ht="21.75" customHeight="1">
      <c r="A104" s="82">
        <f ca="1">IF(ROWS($1:91)&gt;COUNT(Dong1),"",OFFSET(TH!C$1,SMALL(Dong1,ROWS($1:91)),))</f>
        <v>42731</v>
      </c>
      <c r="B104" s="82">
        <f ca="1">IF(ROWS($1:91)&gt;COUNT(Dong1),"",OFFSET(TH!E$1,SMALL(Dong1,ROWS($1:91)),))</f>
        <v>42731</v>
      </c>
      <c r="C104" s="83" t="str">
        <f ca="1">IF(ROWS($1:91)&gt;COUNT(Dong1),"",IF(OFFSET(TH!L$1,SMALL(Dong1,ROWS($1:91)),)="1111",OFFSET(TH!D$1,SMALL(Dong1,ROWS($1:91)),),""))</f>
        <v>T46</v>
      </c>
      <c r="D104" s="84" t="str">
        <f ca="1">IF(ROWS($1:91)&gt;COUNT(Dong1),"",IF(OFFSET(TH!M$1,SMALL(Dong1,ROWS($1:91)),)="1111",OFFSET(TH!D$1,SMALL(Dong1,ROWS($1:91)),),""))</f>
        <v/>
      </c>
      <c r="E104" s="128" t="str">
        <f ca="1">IF(ROWS($1:91)&gt;COUNT(Dong1),"",OFFSET(TH!F$1,SMALL(Dong1,ROWS($1:91)),))</f>
        <v>Thu tiền hàng</v>
      </c>
      <c r="F104" s="86" t="str">
        <f ca="1">IF(ROWS($1:91)&gt;COUNT(Dong1),"",IF(OFFSET(TH!M$1,SMALL(Dong1,ROWS($1:91)),)="1111",OFFSET(TH!L$1,SMALL(Dong1,ROWS($1:91)),),OFFSET(TH!M$1,SMALL(Dong1,ROWS($1:91)),)))</f>
        <v>131</v>
      </c>
      <c r="G104" s="87">
        <f ca="1">IF(ROWS($1:91)&gt;COUNT(Dong1),"",IF(OFFSET(TH!L$1,SMALL(Dong1,ROWS($1:91)),)="1111",OFFSET(TH!K$1,SMALL(Dong1,ROWS($1:91)),),0))</f>
        <v>11385000</v>
      </c>
      <c r="H104" s="85">
        <f ca="1">IF(ROWS($1:91)&gt;COUNT(Dong1),"",IF(OFFSET(TH!M$1,SMALL(Dong1,ROWS($1:91)),)="1111",OFFSET(TH!K$1,SMALL(Dong1,ROWS($1:91)),),0))</f>
        <v>0</v>
      </c>
      <c r="I104" s="83">
        <f t="shared" ca="1" si="4"/>
        <v>2080389741</v>
      </c>
      <c r="J104" s="88"/>
    </row>
    <row r="105" spans="1:10" ht="21.75" customHeight="1">
      <c r="A105" s="82">
        <f ca="1">IF(ROWS($1:92)&gt;COUNT(Dong1),"",OFFSET(TH!C$1,SMALL(Dong1,ROWS($1:92)),))</f>
        <v>42732</v>
      </c>
      <c r="B105" s="82">
        <f ca="1">IF(ROWS($1:92)&gt;COUNT(Dong1),"",OFFSET(TH!E$1,SMALL(Dong1,ROWS($1:92)),))</f>
        <v>42732</v>
      </c>
      <c r="C105" s="83" t="str">
        <f ca="1">IF(ROWS($1:92)&gt;COUNT(Dong1),"",IF(OFFSET(TH!L$1,SMALL(Dong1,ROWS($1:92)),)="1111",OFFSET(TH!D$1,SMALL(Dong1,ROWS($1:92)),),""))</f>
        <v/>
      </c>
      <c r="D105" s="84" t="str">
        <f ca="1">IF(ROWS($1:92)&gt;COUNT(Dong1),"",IF(OFFSET(TH!M$1,SMALL(Dong1,ROWS($1:92)),)="1111",OFFSET(TH!D$1,SMALL(Dong1,ROWS($1:92)),),""))</f>
        <v>C33</v>
      </c>
      <c r="E105" s="128" t="str">
        <f ca="1">IF(ROWS($1:92)&gt;COUNT(Dong1),"",OFFSET(TH!F$1,SMALL(Dong1,ROWS($1:92)),))</f>
        <v>Thanh toán tiền hàng</v>
      </c>
      <c r="F105" s="86" t="str">
        <f ca="1">IF(ROWS($1:92)&gt;COUNT(Dong1),"",IF(OFFSET(TH!M$1,SMALL(Dong1,ROWS($1:92)),)="1111",OFFSET(TH!L$1,SMALL(Dong1,ROWS($1:92)),),OFFSET(TH!M$1,SMALL(Dong1,ROWS($1:92)),)))</f>
        <v>331</v>
      </c>
      <c r="G105" s="87">
        <f ca="1">IF(ROWS($1:92)&gt;COUNT(Dong1),"",IF(OFFSET(TH!L$1,SMALL(Dong1,ROWS($1:92)),)="1111",OFFSET(TH!K$1,SMALL(Dong1,ROWS($1:92)),),0))</f>
        <v>0</v>
      </c>
      <c r="H105" s="85">
        <f ca="1">IF(ROWS($1:92)&gt;COUNT(Dong1),"",IF(OFFSET(TH!M$1,SMALL(Dong1,ROWS($1:92)),)="1111",OFFSET(TH!K$1,SMALL(Dong1,ROWS($1:92)),),0))</f>
        <v>17344800</v>
      </c>
      <c r="I105" s="83">
        <f t="shared" ca="1" si="4"/>
        <v>2063044941</v>
      </c>
      <c r="J105" s="88"/>
    </row>
    <row r="106" spans="1:10" ht="21.75" customHeight="1">
      <c r="A106" s="82">
        <f ca="1">IF(ROWS($1:93)&gt;COUNT(Dong1),"",OFFSET(TH!C$1,SMALL(Dong1,ROWS($1:93)),))</f>
        <v>42732</v>
      </c>
      <c r="B106" s="82">
        <f ca="1">IF(ROWS($1:93)&gt;COUNT(Dong1),"",OFFSET(TH!E$1,SMALL(Dong1,ROWS($1:93)),))</f>
        <v>42732</v>
      </c>
      <c r="C106" s="83" t="str">
        <f ca="1">IF(ROWS($1:93)&gt;COUNT(Dong1),"",IF(OFFSET(TH!L$1,SMALL(Dong1,ROWS($1:93)),)="1111",OFFSET(TH!D$1,SMALL(Dong1,ROWS($1:93)),),""))</f>
        <v>T47</v>
      </c>
      <c r="D106" s="84" t="str">
        <f ca="1">IF(ROWS($1:93)&gt;COUNT(Dong1),"",IF(OFFSET(TH!M$1,SMALL(Dong1,ROWS($1:93)),)="1111",OFFSET(TH!D$1,SMALL(Dong1,ROWS($1:93)),),""))</f>
        <v/>
      </c>
      <c r="E106" s="128" t="str">
        <f ca="1">IF(ROWS($1:93)&gt;COUNT(Dong1),"",OFFSET(TH!F$1,SMALL(Dong1,ROWS($1:93)),))</f>
        <v>Rút tiền mặt</v>
      </c>
      <c r="F106" s="86" t="str">
        <f ca="1">IF(ROWS($1:93)&gt;COUNT(Dong1),"",IF(OFFSET(TH!M$1,SMALL(Dong1,ROWS($1:93)),)="1111",OFFSET(TH!L$1,SMALL(Dong1,ROWS($1:93)),),OFFSET(TH!M$1,SMALL(Dong1,ROWS($1:93)),)))</f>
        <v>1121</v>
      </c>
      <c r="G106" s="87">
        <f ca="1">IF(ROWS($1:93)&gt;COUNT(Dong1),"",IF(OFFSET(TH!L$1,SMALL(Dong1,ROWS($1:93)),)="1111",OFFSET(TH!K$1,SMALL(Dong1,ROWS($1:93)),),0))</f>
        <v>5500000</v>
      </c>
      <c r="H106" s="85">
        <f ca="1">IF(ROWS($1:93)&gt;COUNT(Dong1),"",IF(OFFSET(TH!M$1,SMALL(Dong1,ROWS($1:93)),)="1111",OFFSET(TH!K$1,SMALL(Dong1,ROWS($1:93)),),0))</f>
        <v>0</v>
      </c>
      <c r="I106" s="83">
        <f t="shared" ca="1" si="4"/>
        <v>2068544941</v>
      </c>
      <c r="J106" s="88"/>
    </row>
    <row r="107" spans="1:10" ht="21.75" customHeight="1">
      <c r="A107" s="82">
        <f ca="1">IF(ROWS($1:94)&gt;COUNT(Dong1),"",OFFSET(TH!C$1,SMALL(Dong1,ROWS($1:94)),))</f>
        <v>42732</v>
      </c>
      <c r="B107" s="82">
        <f ca="1">IF(ROWS($1:94)&gt;COUNT(Dong1),"",OFFSET(TH!E$1,SMALL(Dong1,ROWS($1:94)),))</f>
        <v>42732</v>
      </c>
      <c r="C107" s="83" t="str">
        <f ca="1">IF(ROWS($1:94)&gt;COUNT(Dong1),"",IF(OFFSET(TH!L$1,SMALL(Dong1,ROWS($1:94)),)="1111",OFFSET(TH!D$1,SMALL(Dong1,ROWS($1:94)),),""))</f>
        <v>T48</v>
      </c>
      <c r="D107" s="84" t="str">
        <f ca="1">IF(ROWS($1:94)&gt;COUNT(Dong1),"",IF(OFFSET(TH!M$1,SMALL(Dong1,ROWS($1:94)),)="1111",OFFSET(TH!D$1,SMALL(Dong1,ROWS($1:94)),),""))</f>
        <v/>
      </c>
      <c r="E107" s="128" t="str">
        <f ca="1">IF(ROWS($1:94)&gt;COUNT(Dong1),"",OFFSET(TH!F$1,SMALL(Dong1,ROWS($1:94)),))</f>
        <v>Thu tiền hàng</v>
      </c>
      <c r="F107" s="86" t="str">
        <f ca="1">IF(ROWS($1:94)&gt;COUNT(Dong1),"",IF(OFFSET(TH!M$1,SMALL(Dong1,ROWS($1:94)),)="1111",OFFSET(TH!L$1,SMALL(Dong1,ROWS($1:94)),),OFFSET(TH!M$1,SMALL(Dong1,ROWS($1:94)),)))</f>
        <v>131</v>
      </c>
      <c r="G107" s="87">
        <f ca="1">IF(ROWS($1:94)&gt;COUNT(Dong1),"",IF(OFFSET(TH!L$1,SMALL(Dong1,ROWS($1:94)),)="1111",OFFSET(TH!K$1,SMALL(Dong1,ROWS($1:94)),),0))</f>
        <v>16747500</v>
      </c>
      <c r="H107" s="85">
        <f ca="1">IF(ROWS($1:94)&gt;COUNT(Dong1),"",IF(OFFSET(TH!M$1,SMALL(Dong1,ROWS($1:94)),)="1111",OFFSET(TH!K$1,SMALL(Dong1,ROWS($1:94)),),0))</f>
        <v>0</v>
      </c>
      <c r="I107" s="83">
        <f t="shared" ca="1" si="4"/>
        <v>2085292441</v>
      </c>
      <c r="J107" s="88"/>
    </row>
    <row r="108" spans="1:10" ht="21.75" customHeight="1">
      <c r="A108" s="82">
        <f ca="1">IF(ROWS($1:95)&gt;COUNT(Dong1),"",OFFSET(TH!C$1,SMALL(Dong1,ROWS($1:95)),))</f>
        <v>42733</v>
      </c>
      <c r="B108" s="82">
        <f ca="1">IF(ROWS($1:95)&gt;COUNT(Dong1),"",OFFSET(TH!E$1,SMALL(Dong1,ROWS($1:95)),))</f>
        <v>42733</v>
      </c>
      <c r="C108" s="83" t="str">
        <f ca="1">IF(ROWS($1:95)&gt;COUNT(Dong1),"",IF(OFFSET(TH!L$1,SMALL(Dong1,ROWS($1:95)),)="1111",OFFSET(TH!D$1,SMALL(Dong1,ROWS($1:95)),),""))</f>
        <v/>
      </c>
      <c r="D108" s="84" t="str">
        <f ca="1">IF(ROWS($1:95)&gt;COUNT(Dong1),"",IF(OFFSET(TH!M$1,SMALL(Dong1,ROWS($1:95)),)="1111",OFFSET(TH!D$1,SMALL(Dong1,ROWS($1:95)),),""))</f>
        <v>C34</v>
      </c>
      <c r="E108" s="128" t="str">
        <f ca="1">IF(ROWS($1:95)&gt;COUNT(Dong1),"",OFFSET(TH!F$1,SMALL(Dong1,ROWS($1:95)),))</f>
        <v>Trả lại tiền trả dư</v>
      </c>
      <c r="F108" s="86" t="str">
        <f ca="1">IF(ROWS($1:95)&gt;COUNT(Dong1),"",IF(OFFSET(TH!M$1,SMALL(Dong1,ROWS($1:95)),)="1111",OFFSET(TH!L$1,SMALL(Dong1,ROWS($1:95)),),OFFSET(TH!M$1,SMALL(Dong1,ROWS($1:95)),)))</f>
        <v>131</v>
      </c>
      <c r="G108" s="87">
        <f ca="1">IF(ROWS($1:95)&gt;COUNT(Dong1),"",IF(OFFSET(TH!L$1,SMALL(Dong1,ROWS($1:95)),)="1111",OFFSET(TH!K$1,SMALL(Dong1,ROWS($1:95)),),0))</f>
        <v>0</v>
      </c>
      <c r="H108" s="85">
        <f ca="1">IF(ROWS($1:95)&gt;COUNT(Dong1),"",IF(OFFSET(TH!M$1,SMALL(Dong1,ROWS($1:95)),)="1111",OFFSET(TH!K$1,SMALL(Dong1,ROWS($1:95)),),0))</f>
        <v>7592200</v>
      </c>
      <c r="I108" s="83">
        <f t="shared" ca="1" si="4"/>
        <v>2077700241</v>
      </c>
      <c r="J108" s="88"/>
    </row>
    <row r="109" spans="1:10" ht="21.75" customHeight="1">
      <c r="A109" s="82">
        <f ca="1">IF(ROWS($1:96)&gt;COUNT(Dong1),"",OFFSET(TH!C$1,SMALL(Dong1,ROWS($1:96)),))</f>
        <v>42734</v>
      </c>
      <c r="B109" s="82">
        <f ca="1">IF(ROWS($1:96)&gt;COUNT(Dong1),"",OFFSET(TH!E$1,SMALL(Dong1,ROWS($1:96)),))</f>
        <v>42734</v>
      </c>
      <c r="C109" s="83" t="str">
        <f ca="1">IF(ROWS($1:96)&gt;COUNT(Dong1),"",IF(OFFSET(TH!L$1,SMALL(Dong1,ROWS($1:96)),)="1111",OFFSET(TH!D$1,SMALL(Dong1,ROWS($1:96)),),""))</f>
        <v/>
      </c>
      <c r="D109" s="84" t="str">
        <f ca="1">IF(ROWS($1:96)&gt;COUNT(Dong1),"",IF(OFFSET(TH!M$1,SMALL(Dong1,ROWS($1:96)),)="1111",OFFSET(TH!D$1,SMALL(Dong1,ROWS($1:96)),),""))</f>
        <v>C35</v>
      </c>
      <c r="E109" s="128" t="str">
        <f ca="1">IF(ROWS($1:96)&gt;COUNT(Dong1),"",OFFSET(TH!F$1,SMALL(Dong1,ROWS($1:96)),))</f>
        <v>Thanh toán tiền hàng</v>
      </c>
      <c r="F109" s="86" t="str">
        <f ca="1">IF(ROWS($1:96)&gt;COUNT(Dong1),"",IF(OFFSET(TH!M$1,SMALL(Dong1,ROWS($1:96)),)="1111",OFFSET(TH!L$1,SMALL(Dong1,ROWS($1:96)),),OFFSET(TH!M$1,SMALL(Dong1,ROWS($1:96)),)))</f>
        <v>331</v>
      </c>
      <c r="G109" s="87">
        <f ca="1">IF(ROWS($1:96)&gt;COUNT(Dong1),"",IF(OFFSET(TH!L$1,SMALL(Dong1,ROWS($1:96)),)="1111",OFFSET(TH!K$1,SMALL(Dong1,ROWS($1:96)),),0))</f>
        <v>0</v>
      </c>
      <c r="H109" s="85">
        <f ca="1">IF(ROWS($1:96)&gt;COUNT(Dong1),"",IF(OFFSET(TH!M$1,SMALL(Dong1,ROWS($1:96)),)="1111",OFFSET(TH!K$1,SMALL(Dong1,ROWS($1:96)),),0))</f>
        <v>6916800</v>
      </c>
      <c r="I109" s="83">
        <f t="shared" ca="1" si="4"/>
        <v>2070783441</v>
      </c>
      <c r="J109" s="88"/>
    </row>
    <row r="110" spans="1:10" ht="21.75" customHeight="1">
      <c r="A110" s="82">
        <f ca="1">IF(ROWS($1:97)&gt;COUNT(Dong1),"",OFFSET(TH!C$1,SMALL(Dong1,ROWS($1:97)),))</f>
        <v>42734</v>
      </c>
      <c r="B110" s="82">
        <f ca="1">IF(ROWS($1:97)&gt;COUNT(Dong1),"",OFFSET(TH!E$1,SMALL(Dong1,ROWS($1:97)),))</f>
        <v>42734</v>
      </c>
      <c r="C110" s="83" t="str">
        <f ca="1">IF(ROWS($1:97)&gt;COUNT(Dong1),"",IF(OFFSET(TH!L$1,SMALL(Dong1,ROWS($1:97)),)="1111",OFFSET(TH!D$1,SMALL(Dong1,ROWS($1:97)),),""))</f>
        <v>T49</v>
      </c>
      <c r="D110" s="84" t="str">
        <f ca="1">IF(ROWS($1:97)&gt;COUNT(Dong1),"",IF(OFFSET(TH!M$1,SMALL(Dong1,ROWS($1:97)),)="1111",OFFSET(TH!D$1,SMALL(Dong1,ROWS($1:97)),),""))</f>
        <v/>
      </c>
      <c r="E110" s="128" t="str">
        <f ca="1">IF(ROWS($1:97)&gt;COUNT(Dong1),"",OFFSET(TH!F$1,SMALL(Dong1,ROWS($1:97)),))</f>
        <v>Rút tiền mặt</v>
      </c>
      <c r="F110" s="86" t="str">
        <f ca="1">IF(ROWS($1:97)&gt;COUNT(Dong1),"",IF(OFFSET(TH!M$1,SMALL(Dong1,ROWS($1:97)),)="1111",OFFSET(TH!L$1,SMALL(Dong1,ROWS($1:97)),),OFFSET(TH!M$1,SMALL(Dong1,ROWS($1:97)),)))</f>
        <v>1121</v>
      </c>
      <c r="G110" s="87">
        <f ca="1">IF(ROWS($1:97)&gt;COUNT(Dong1),"",IF(OFFSET(TH!L$1,SMALL(Dong1,ROWS($1:97)),)="1111",OFFSET(TH!K$1,SMALL(Dong1,ROWS($1:97)),),0))</f>
        <v>9500000</v>
      </c>
      <c r="H110" s="85">
        <f ca="1">IF(ROWS($1:97)&gt;COUNT(Dong1),"",IF(OFFSET(TH!M$1,SMALL(Dong1,ROWS($1:97)),)="1111",OFFSET(TH!K$1,SMALL(Dong1,ROWS($1:97)),),0))</f>
        <v>0</v>
      </c>
      <c r="I110" s="83">
        <f t="shared" ca="1" si="4"/>
        <v>2080283441</v>
      </c>
      <c r="J110" s="88"/>
    </row>
    <row r="111" spans="1:10" ht="21.75" customHeight="1">
      <c r="A111" s="82">
        <f ca="1">IF(ROWS($1:98)&gt;COUNT(Dong1),"",OFFSET(TH!C$1,SMALL(Dong1,ROWS($1:98)),))</f>
        <v>42735</v>
      </c>
      <c r="B111" s="82">
        <f ca="1">IF(ROWS($1:98)&gt;COUNT(Dong1),"",OFFSET(TH!E$1,SMALL(Dong1,ROWS($1:98)),))</f>
        <v>42735</v>
      </c>
      <c r="C111" s="83" t="str">
        <f ca="1">IF(ROWS($1:98)&gt;COUNT(Dong1),"",IF(OFFSET(TH!L$1,SMALL(Dong1,ROWS($1:98)),)="1111",OFFSET(TH!D$1,SMALL(Dong1,ROWS($1:98)),),""))</f>
        <v/>
      </c>
      <c r="D111" s="84" t="str">
        <f ca="1">IF(ROWS($1:98)&gt;COUNT(Dong1),"",IF(OFFSET(TH!M$1,SMALL(Dong1,ROWS($1:98)),)="1111",OFFSET(TH!D$1,SMALL(Dong1,ROWS($1:98)),),""))</f>
        <v>C36</v>
      </c>
      <c r="E111" s="128" t="str">
        <f ca="1">IF(ROWS($1:98)&gt;COUNT(Dong1),"",OFFSET(TH!F$1,SMALL(Dong1,ROWS($1:98)),))</f>
        <v>Thanh toán tiền lương tháng 12/2016</v>
      </c>
      <c r="F111" s="86" t="str">
        <f ca="1">IF(ROWS($1:98)&gt;COUNT(Dong1),"",IF(OFFSET(TH!M$1,SMALL(Dong1,ROWS($1:98)),)="1111",OFFSET(TH!L$1,SMALL(Dong1,ROWS($1:98)),),OFFSET(TH!M$1,SMALL(Dong1,ROWS($1:98)),)))</f>
        <v>3341</v>
      </c>
      <c r="G111" s="87">
        <f ca="1">IF(ROWS($1:98)&gt;COUNT(Dong1),"",IF(OFFSET(TH!L$1,SMALL(Dong1,ROWS($1:98)),)="1111",OFFSET(TH!K$1,SMALL(Dong1,ROWS($1:98)),),0))</f>
        <v>0</v>
      </c>
      <c r="H111" s="85">
        <f ca="1">IF(ROWS($1:98)&gt;COUNT(Dong1),"",IF(OFFSET(TH!M$1,SMALL(Dong1,ROWS($1:98)),)="1111",OFFSET(TH!K$1,SMALL(Dong1,ROWS($1:98)),),0))</f>
        <v>18425000</v>
      </c>
      <c r="I111" s="83">
        <f t="shared" ca="1" si="4"/>
        <v>2061858441</v>
      </c>
      <c r="J111" s="88"/>
    </row>
    <row r="112" spans="1:10" ht="21.75" customHeight="1">
      <c r="A112" s="82">
        <f ca="1">IF(ROWS($1:99)&gt;COUNT(Dong1),"",OFFSET(TH!C$1,SMALL(Dong1,ROWS($1:99)),))</f>
        <v>42735</v>
      </c>
      <c r="B112" s="82">
        <f ca="1">IF(ROWS($1:99)&gt;COUNT(Dong1),"",OFFSET(TH!E$1,SMALL(Dong1,ROWS($1:99)),))</f>
        <v>42735</v>
      </c>
      <c r="C112" s="83" t="str">
        <f ca="1">IF(ROWS($1:99)&gt;COUNT(Dong1),"",IF(OFFSET(TH!L$1,SMALL(Dong1,ROWS($1:99)),)="1111",OFFSET(TH!D$1,SMALL(Dong1,ROWS($1:99)),),""))</f>
        <v/>
      </c>
      <c r="D112" s="84" t="str">
        <f ca="1">IF(ROWS($1:99)&gt;COUNT(Dong1),"",IF(OFFSET(TH!M$1,SMALL(Dong1,ROWS($1:99)),)="1111",OFFSET(TH!D$1,SMALL(Dong1,ROWS($1:99)),),""))</f>
        <v>C37</v>
      </c>
      <c r="E112" s="128" t="str">
        <f ca="1">IF(ROWS($1:99)&gt;COUNT(Dong1),"",OFFSET(TH!F$1,SMALL(Dong1,ROWS($1:99)),))</f>
        <v>Cước CPN T12/2016</v>
      </c>
      <c r="F112" s="86" t="str">
        <f ca="1">IF(ROWS($1:99)&gt;COUNT(Dong1),"",IF(OFFSET(TH!M$1,SMALL(Dong1,ROWS($1:99)),)="1111",OFFSET(TH!L$1,SMALL(Dong1,ROWS($1:99)),),OFFSET(TH!M$1,SMALL(Dong1,ROWS($1:99)),)))</f>
        <v>642</v>
      </c>
      <c r="G112" s="87">
        <f ca="1">IF(ROWS($1:99)&gt;COUNT(Dong1),"",IF(OFFSET(TH!L$1,SMALL(Dong1,ROWS($1:99)),)="1111",OFFSET(TH!K$1,SMALL(Dong1,ROWS($1:99)),),0))</f>
        <v>0</v>
      </c>
      <c r="H112" s="85">
        <f ca="1">IF(ROWS($1:99)&gt;COUNT(Dong1),"",IF(OFFSET(TH!M$1,SMALL(Dong1,ROWS($1:99)),)="1111",OFFSET(TH!K$1,SMALL(Dong1,ROWS($1:99)),),0))</f>
        <v>50370</v>
      </c>
      <c r="I112" s="83">
        <f t="shared" ca="1" si="4"/>
        <v>2061808071</v>
      </c>
      <c r="J112" s="88"/>
    </row>
    <row r="113" spans="1:12" ht="21.75" customHeight="1">
      <c r="A113" s="82">
        <f ca="1">IF(ROWS($1:100)&gt;COUNT(Dong1),"",OFFSET(TH!C$1,SMALL(Dong1,ROWS($1:100)),))</f>
        <v>42735</v>
      </c>
      <c r="B113" s="82">
        <f ca="1">IF(ROWS($1:100)&gt;COUNT(Dong1),"",OFFSET(TH!E$1,SMALL(Dong1,ROWS($1:100)),))</f>
        <v>42735</v>
      </c>
      <c r="C113" s="83" t="str">
        <f ca="1">IF(ROWS($1:100)&gt;COUNT(Dong1),"",IF(OFFSET(TH!L$1,SMALL(Dong1,ROWS($1:100)),)="1111",OFFSET(TH!D$1,SMALL(Dong1,ROWS($1:100)),),""))</f>
        <v/>
      </c>
      <c r="D113" s="84" t="str">
        <f ca="1">IF(ROWS($1:100)&gt;COUNT(Dong1),"",IF(OFFSET(TH!M$1,SMALL(Dong1,ROWS($1:100)),)="1111",OFFSET(TH!D$1,SMALL(Dong1,ROWS($1:100)),),""))</f>
        <v>C37</v>
      </c>
      <c r="E113" s="128" t="str">
        <f ca="1">IF(ROWS($1:100)&gt;COUNT(Dong1),"",OFFSET(TH!F$1,SMALL(Dong1,ROWS($1:100)),))</f>
        <v>VAT Cước CPN T12/2016</v>
      </c>
      <c r="F113" s="86" t="str">
        <f ca="1">IF(ROWS($1:100)&gt;COUNT(Dong1),"",IF(OFFSET(TH!M$1,SMALL(Dong1,ROWS($1:100)),)="1111",OFFSET(TH!L$1,SMALL(Dong1,ROWS($1:100)),),OFFSET(TH!M$1,SMALL(Dong1,ROWS($1:100)),)))</f>
        <v>1331</v>
      </c>
      <c r="G113" s="87">
        <f ca="1">IF(ROWS($1:100)&gt;COUNT(Dong1),"",IF(OFFSET(TH!L$1,SMALL(Dong1,ROWS($1:100)),)="1111",OFFSET(TH!K$1,SMALL(Dong1,ROWS($1:100)),),0))</f>
        <v>0</v>
      </c>
      <c r="H113" s="85">
        <f ca="1">IF(ROWS($1:100)&gt;COUNT(Dong1),"",IF(OFFSET(TH!M$1,SMALL(Dong1,ROWS($1:100)),)="1111",OFFSET(TH!K$1,SMALL(Dong1,ROWS($1:100)),),0))</f>
        <v>5037</v>
      </c>
      <c r="I113" s="83">
        <f t="shared" ca="1" si="4"/>
        <v>2061803034</v>
      </c>
      <c r="J113" s="88"/>
    </row>
    <row r="114" spans="1:12" ht="21.75" customHeight="1">
      <c r="A114" s="82">
        <f ca="1">IF(ROWS($1:101)&gt;COUNT(Dong1),"",OFFSET(TH!C$1,SMALL(Dong1,ROWS($1:101)),))</f>
        <v>42735</v>
      </c>
      <c r="B114" s="82">
        <f ca="1">IF(ROWS($1:101)&gt;COUNT(Dong1),"",OFFSET(TH!E$1,SMALL(Dong1,ROWS($1:101)),))</f>
        <v>42735</v>
      </c>
      <c r="C114" s="83" t="str">
        <f ca="1">IF(ROWS($1:101)&gt;COUNT(Dong1),"",IF(OFFSET(TH!L$1,SMALL(Dong1,ROWS($1:101)),)="1111",OFFSET(TH!D$1,SMALL(Dong1,ROWS($1:101)),),""))</f>
        <v/>
      </c>
      <c r="D114" s="84" t="str">
        <f ca="1">IF(ROWS($1:101)&gt;COUNT(Dong1),"",IF(OFFSET(TH!M$1,SMALL(Dong1,ROWS($1:101)),)="1111",OFFSET(TH!D$1,SMALL(Dong1,ROWS($1:101)),),""))</f>
        <v>C38</v>
      </c>
      <c r="E114" s="128" t="str">
        <f ca="1">IF(ROWS($1:101)&gt;COUNT(Dong1),"",OFFSET(TH!F$1,SMALL(Dong1,ROWS($1:101)),))</f>
        <v>Phí sử dụng đường bộ</v>
      </c>
      <c r="F114" s="86" t="str">
        <f ca="1">IF(ROWS($1:101)&gt;COUNT(Dong1),"",IF(OFFSET(TH!M$1,SMALL(Dong1,ROWS($1:101)),)="1111",OFFSET(TH!L$1,SMALL(Dong1,ROWS($1:101)),),OFFSET(TH!M$1,SMALL(Dong1,ROWS($1:101)),)))</f>
        <v>641</v>
      </c>
      <c r="G114" s="87">
        <f ca="1">IF(ROWS($1:101)&gt;COUNT(Dong1),"",IF(OFFSET(TH!L$1,SMALL(Dong1,ROWS($1:101)),)="1111",OFFSET(TH!K$1,SMALL(Dong1,ROWS($1:101)),),0))</f>
        <v>0</v>
      </c>
      <c r="H114" s="85">
        <f ca="1">IF(ROWS($1:101)&gt;COUNT(Dong1),"",IF(OFFSET(TH!M$1,SMALL(Dong1,ROWS($1:101)),)="1111",OFFSET(TH!K$1,SMALL(Dong1,ROWS($1:101)),),0))</f>
        <v>281818</v>
      </c>
      <c r="I114" s="83">
        <f t="shared" ca="1" si="4"/>
        <v>2061521216</v>
      </c>
      <c r="J114" s="88"/>
    </row>
    <row r="115" spans="1:12" ht="21.75" customHeight="1">
      <c r="A115" s="82">
        <f ca="1">IF(ROWS($1:102)&gt;COUNT(Dong1),"",OFFSET(TH!C$1,SMALL(Dong1,ROWS($1:102)),))</f>
        <v>42735</v>
      </c>
      <c r="B115" s="82">
        <f ca="1">IF(ROWS($1:102)&gt;COUNT(Dong1),"",OFFSET(TH!E$1,SMALL(Dong1,ROWS($1:102)),))</f>
        <v>42735</v>
      </c>
      <c r="C115" s="83" t="str">
        <f ca="1">IF(ROWS($1:102)&gt;COUNT(Dong1),"",IF(OFFSET(TH!L$1,SMALL(Dong1,ROWS($1:102)),)="1111",OFFSET(TH!D$1,SMALL(Dong1,ROWS($1:102)),),""))</f>
        <v/>
      </c>
      <c r="D115" s="84" t="str">
        <f ca="1">IF(ROWS($1:102)&gt;COUNT(Dong1),"",IF(OFFSET(TH!M$1,SMALL(Dong1,ROWS($1:102)),)="1111",OFFSET(TH!D$1,SMALL(Dong1,ROWS($1:102)),),""))</f>
        <v>C38</v>
      </c>
      <c r="E115" s="128" t="str">
        <f ca="1">IF(ROWS($1:102)&gt;COUNT(Dong1),"",OFFSET(TH!F$1,SMALL(Dong1,ROWS($1:102)),))</f>
        <v>VAT Phí sử dụng đường bộ</v>
      </c>
      <c r="F115" s="86" t="str">
        <f ca="1">IF(ROWS($1:102)&gt;COUNT(Dong1),"",IF(OFFSET(TH!M$1,SMALL(Dong1,ROWS($1:102)),)="1111",OFFSET(TH!L$1,SMALL(Dong1,ROWS($1:102)),),OFFSET(TH!M$1,SMALL(Dong1,ROWS($1:102)),)))</f>
        <v>1331</v>
      </c>
      <c r="G115" s="87">
        <f ca="1">IF(ROWS($1:102)&gt;COUNT(Dong1),"",IF(OFFSET(TH!L$1,SMALL(Dong1,ROWS($1:102)),)="1111",OFFSET(TH!K$1,SMALL(Dong1,ROWS($1:102)),),0))</f>
        <v>0</v>
      </c>
      <c r="H115" s="85">
        <f ca="1">IF(ROWS($1:102)&gt;COUNT(Dong1),"",IF(OFFSET(TH!M$1,SMALL(Dong1,ROWS($1:102)),)="1111",OFFSET(TH!K$1,SMALL(Dong1,ROWS($1:102)),),0))</f>
        <v>28182</v>
      </c>
      <c r="I115" s="83">
        <f t="shared" ca="1" si="4"/>
        <v>2061493034</v>
      </c>
      <c r="J115" s="88"/>
    </row>
    <row r="116" spans="1:12" ht="21.75" customHeight="1">
      <c r="A116" s="82" t="str">
        <f ca="1">IF(ROWS($1:103)&gt;COUNT(Dong1),"",OFFSET(TH!C$1,SMALL(Dong1,ROWS($1:103)),))</f>
        <v/>
      </c>
      <c r="B116" s="82" t="str">
        <f ca="1">IF(ROWS($1:103)&gt;COUNT(Dong1),"",OFFSET(TH!E$1,SMALL(Dong1,ROWS($1:103)),))</f>
        <v/>
      </c>
      <c r="C116" s="83" t="str">
        <f ca="1">IF(ROWS($1:103)&gt;COUNT(Dong1),"",IF(OFFSET(TH!L$1,SMALL(Dong1,ROWS($1:103)),)="1111",OFFSET(TH!D$1,SMALL(Dong1,ROWS($1:103)),),""))</f>
        <v/>
      </c>
      <c r="D116" s="84" t="str">
        <f ca="1">IF(ROWS($1:103)&gt;COUNT(Dong1),"",IF(OFFSET(TH!M$1,SMALL(Dong1,ROWS($1:103)),)="1111",OFFSET(TH!D$1,SMALL(Dong1,ROWS($1:103)),),""))</f>
        <v/>
      </c>
      <c r="E116" s="128" t="str">
        <f ca="1">IF(ROWS($1:103)&gt;COUNT(Dong1),"",OFFSET(TH!F$1,SMALL(Dong1,ROWS($1:103)),))</f>
        <v/>
      </c>
      <c r="F116" s="86" t="str">
        <f ca="1">IF(ROWS($1:103)&gt;COUNT(Dong1),"",IF(OFFSET(TH!M$1,SMALL(Dong1,ROWS($1:103)),)="1111",OFFSET(TH!L$1,SMALL(Dong1,ROWS($1:103)),),OFFSET(TH!M$1,SMALL(Dong1,ROWS($1:103)),)))</f>
        <v/>
      </c>
      <c r="G116" s="87" t="str">
        <f ca="1">IF(ROWS($1:103)&gt;COUNT(Dong1),"",IF(OFFSET(TH!L$1,SMALL(Dong1,ROWS($1:103)),)="1111",OFFSET(TH!K$1,SMALL(Dong1,ROWS($1:103)),),0))</f>
        <v/>
      </c>
      <c r="H116" s="85" t="str">
        <f ca="1">IF(ROWS($1:103)&gt;COUNT(Dong1),"",IF(OFFSET(TH!M$1,SMALL(Dong1,ROWS($1:103)),)="1111",OFFSET(TH!K$1,SMALL(Dong1,ROWS($1:103)),),0))</f>
        <v/>
      </c>
      <c r="I116" s="83">
        <f t="shared" ref="I116" ca="1" si="5">IF(E116&lt;&gt;"",I115+G116-H116,0)</f>
        <v>0</v>
      </c>
      <c r="J116" s="88"/>
    </row>
    <row r="117" spans="1:12" s="78" customFormat="1" ht="21.75" customHeight="1">
      <c r="A117" s="89"/>
      <c r="B117" s="89"/>
      <c r="C117" s="89"/>
      <c r="D117" s="89"/>
      <c r="E117" s="89" t="s">
        <v>128</v>
      </c>
      <c r="F117" s="90" t="s">
        <v>19</v>
      </c>
      <c r="G117" s="89">
        <f ca="1">SUM(G14:G116)</f>
        <v>911510286</v>
      </c>
      <c r="H117" s="89">
        <f ca="1">SUM(H14:H116)</f>
        <v>411867667</v>
      </c>
      <c r="I117" s="90" t="s">
        <v>19</v>
      </c>
      <c r="J117" s="90" t="s">
        <v>19</v>
      </c>
    </row>
    <row r="118" spans="1:12" s="78" customFormat="1" ht="21.75" customHeight="1">
      <c r="A118" s="91"/>
      <c r="B118" s="91"/>
      <c r="C118" s="91"/>
      <c r="D118" s="91"/>
      <c r="E118" s="91" t="s">
        <v>129</v>
      </c>
      <c r="F118" s="92" t="s">
        <v>19</v>
      </c>
      <c r="G118" s="92" t="s">
        <v>19</v>
      </c>
      <c r="H118" s="92" t="s">
        <v>19</v>
      </c>
      <c r="I118" s="93">
        <f ca="1">I13+G117-H117</f>
        <v>2061493034</v>
      </c>
      <c r="J118" s="92" t="s">
        <v>19</v>
      </c>
    </row>
    <row r="119" spans="1:12">
      <c r="L119" s="94" t="s">
        <v>149</v>
      </c>
    </row>
    <row r="120" spans="1:12">
      <c r="A120" s="94" t="s">
        <v>150</v>
      </c>
      <c r="L120" s="94" t="s">
        <v>150</v>
      </c>
    </row>
    <row r="121" spans="1:12">
      <c r="A121" s="675" t="str">
        <f ca="1">"- Ngày mở sổ: "&amp;DAY($A$14)&amp;"/"&amp;MONTH($A$14)&amp;"/ " &amp;YEAR($A$14)</f>
        <v>- Ngày mở sổ: 1/10/ 2016</v>
      </c>
      <c r="L121" s="94" t="s">
        <v>130</v>
      </c>
    </row>
    <row r="122" spans="1:12">
      <c r="I122" s="96" t="str">
        <f ca="1">"Ngày "&amp;IF(OR($L$11=4,$L$11=6,$L$11=9,$L$11=11),"30",IF($L$11=2,"28","31"))&amp;" tháng "&amp;$O$11&amp;"  năm  "&amp;YEAR($A$14)</f>
        <v>Ngày 31 tháng 12  năm  2016</v>
      </c>
      <c r="L122" s="94" t="s">
        <v>147</v>
      </c>
    </row>
    <row r="123" spans="1:12" s="95" customFormat="1" ht="14.25">
      <c r="C123" s="95" t="s">
        <v>11</v>
      </c>
      <c r="E123" s="95" t="s">
        <v>12</v>
      </c>
      <c r="I123" s="95" t="s">
        <v>104</v>
      </c>
    </row>
    <row r="124" spans="1:12" s="96" customFormat="1">
      <c r="C124" s="96" t="s">
        <v>13</v>
      </c>
      <c r="E124" s="96" t="s">
        <v>13</v>
      </c>
      <c r="I124" s="96" t="s">
        <v>131</v>
      </c>
    </row>
    <row r="125" spans="1:12" s="96" customFormat="1"/>
    <row r="126" spans="1:12" s="96" customFormat="1"/>
    <row r="127" spans="1:12" s="96" customFormat="1"/>
    <row r="128" spans="1:12" s="96" customFormat="1"/>
    <row r="131" spans="1:10">
      <c r="C131" s="633"/>
      <c r="I131" s="679"/>
    </row>
    <row r="132" spans="1:10">
      <c r="E132" s="76">
        <f ca="1">SUMIF($D$14:$D$36,#REF!,H14:H36)</f>
        <v>0</v>
      </c>
    </row>
    <row r="135" spans="1:10">
      <c r="A135" s="76">
        <v>2</v>
      </c>
      <c r="B135" s="76">
        <v>3</v>
      </c>
      <c r="C135" s="76">
        <v>4</v>
      </c>
      <c r="D135" s="76">
        <v>5</v>
      </c>
      <c r="E135" s="76">
        <v>6</v>
      </c>
      <c r="F135" s="76">
        <v>9</v>
      </c>
      <c r="G135" s="76">
        <v>10</v>
      </c>
      <c r="H135" s="76">
        <v>11</v>
      </c>
      <c r="I135" s="76">
        <v>12</v>
      </c>
      <c r="J135" s="7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BAO BÌ GIẤY KIM DUNG PHÁT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01 -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37" t="str">
        <f>TH!A2</f>
        <v>Địa chỉ: Ấp Rừng Sến, xã Mỹ Hạnh Bắc, Huyện Đức Hòa, Tỉnh Long An, Việt Nam</v>
      </c>
      <c r="C2" s="37"/>
      <c r="D2" s="27"/>
      <c r="E2" s="27"/>
      <c r="F2" s="27"/>
      <c r="G2" s="27"/>
      <c r="H2" s="29"/>
      <c r="I2" s="2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37"/>
      <c r="C3" s="27"/>
      <c r="D3" s="27"/>
      <c r="E3" s="27"/>
      <c r="F3" s="28"/>
      <c r="G3" s="27"/>
      <c r="H3" s="28"/>
      <c r="I3" s="42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3"/>
      <c r="Q3" s="300"/>
      <c r="R3" s="114"/>
      <c r="S3" s="115" t="s">
        <v>327</v>
      </c>
      <c r="T3" s="114"/>
      <c r="U3" s="115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4"/>
      <c r="H4" s="45" t="str">
        <f>IF(LEFT($U$4,1)="T","PHIẾU THU","PHIẾU CHI")</f>
        <v>PHIẾU THU</v>
      </c>
      <c r="I4" s="28"/>
      <c r="J4" s="44"/>
      <c r="K4" s="46"/>
      <c r="L4" s="28"/>
      <c r="M4" s="46"/>
      <c r="N4" s="46"/>
      <c r="O4" s="46"/>
      <c r="P4" s="47"/>
      <c r="Q4" s="301"/>
      <c r="R4" s="48"/>
      <c r="S4" s="404">
        <v>4</v>
      </c>
      <c r="T4" s="48"/>
      <c r="U4" s="302" t="s">
        <v>1068</v>
      </c>
      <c r="V4" s="73"/>
      <c r="W4" s="303">
        <v>1</v>
      </c>
    </row>
    <row r="5" spans="1:23" ht="15">
      <c r="A5" s="28"/>
      <c r="B5" s="37"/>
      <c r="C5" s="27"/>
      <c r="D5" s="27"/>
      <c r="E5" s="27"/>
      <c r="F5" s="28"/>
      <c r="G5" s="44"/>
      <c r="H5" s="49" t="str">
        <f>IF(ISNA(VLOOKUP($M$7,TM,3,0)),"","Ngày  "&amp;DAY(VLOOKUP($M$7,TM,3,0))&amp;"  tháng  "&amp;MONTH(VLOOKUP($M$7,TM,3,0))&amp;"  năm  "&amp;YEAR(VLOOKUP($M$7,TM,3,0)))</f>
        <v>Ngày  3  tháng  10  năm  2016</v>
      </c>
      <c r="I5" s="28"/>
      <c r="J5" s="44"/>
      <c r="K5" s="46"/>
      <c r="L5" s="28"/>
      <c r="M5" s="46"/>
      <c r="N5" s="46"/>
      <c r="O5" s="46"/>
      <c r="P5" s="47"/>
      <c r="Q5" s="300"/>
      <c r="R5" s="28"/>
      <c r="S5" s="28"/>
      <c r="T5" s="28"/>
      <c r="U5" s="28"/>
      <c r="V5" s="36"/>
      <c r="W5" s="41"/>
    </row>
    <row r="6" spans="1:23" ht="13.5">
      <c r="A6" s="52"/>
      <c r="B6" s="50"/>
      <c r="C6" s="51"/>
      <c r="D6" s="51"/>
      <c r="E6" s="51"/>
      <c r="F6" s="52"/>
      <c r="G6" s="53"/>
      <c r="H6" s="53"/>
      <c r="I6" s="53"/>
      <c r="J6" s="52"/>
      <c r="K6" s="52"/>
      <c r="L6" s="54" t="str">
        <f>"Quyển số: 0"&amp;$S$4</f>
        <v>Quyển số: 04</v>
      </c>
      <c r="M6" s="52"/>
      <c r="N6" s="52"/>
      <c r="O6" s="55"/>
      <c r="P6" s="56"/>
      <c r="Q6" s="52"/>
      <c r="R6" s="52"/>
      <c r="S6" s="52"/>
      <c r="T6" s="52"/>
      <c r="U6" s="52"/>
      <c r="V6" s="57"/>
      <c r="W6" s="41"/>
    </row>
    <row r="7" spans="1:23" ht="13.5" customHeight="1">
      <c r="A7" s="52"/>
      <c r="B7" s="52"/>
      <c r="C7" s="52"/>
      <c r="D7" s="52"/>
      <c r="E7" s="50"/>
      <c r="F7" s="53"/>
      <c r="G7" s="53"/>
      <c r="H7" s="53"/>
      <c r="I7" s="53"/>
      <c r="J7" s="52"/>
      <c r="K7" s="52"/>
      <c r="L7" s="58" t="str">
        <f>"Số :    "</f>
        <v xml:space="preserve">Số :    </v>
      </c>
      <c r="M7" s="59" t="str">
        <f>$U$4&amp;IF($W$4&gt;=10,$W$4,"0"&amp;$W$4)</f>
        <v>T01</v>
      </c>
      <c r="N7" s="55"/>
      <c r="O7" s="55"/>
      <c r="P7" s="56"/>
      <c r="Q7" s="52"/>
      <c r="R7" s="52"/>
      <c r="S7" s="52"/>
      <c r="T7" s="52"/>
      <c r="U7" s="52"/>
      <c r="V7" s="52"/>
      <c r="W7" s="52"/>
    </row>
    <row r="8" spans="1:23" ht="13.5">
      <c r="A8" s="52"/>
      <c r="B8" s="52"/>
      <c r="C8" s="52"/>
      <c r="D8" s="52"/>
      <c r="E8" s="50"/>
      <c r="F8" s="50"/>
      <c r="G8" s="50"/>
      <c r="H8" s="50"/>
      <c r="I8" s="50"/>
      <c r="J8" s="52"/>
      <c r="K8" s="60"/>
      <c r="L8" s="54" t="s">
        <v>101</v>
      </c>
      <c r="M8" s="61" t="str">
        <f>IF($U$4="T","1111",IF($U$4="C",IF(ISNA(VLOOKUP($M$7,TM,13,0)),"",VLOOKUP($M$7,TM,12,0)),""))</f>
        <v>1111</v>
      </c>
      <c r="N8" s="55"/>
      <c r="O8" s="55"/>
      <c r="P8" s="62"/>
      <c r="Q8" s="52"/>
      <c r="R8" s="52"/>
      <c r="S8" s="52"/>
      <c r="T8" s="52"/>
      <c r="U8" s="52"/>
      <c r="V8" s="52"/>
      <c r="W8" s="52"/>
    </row>
    <row r="9" spans="1:23" ht="13.5">
      <c r="A9" s="52"/>
      <c r="B9" s="52"/>
      <c r="C9" s="52"/>
      <c r="D9" s="52"/>
      <c r="E9" s="50"/>
      <c r="F9" s="50"/>
      <c r="G9" s="50"/>
      <c r="H9" s="50"/>
      <c r="I9" s="50"/>
      <c r="J9" s="52"/>
      <c r="K9" s="60"/>
      <c r="L9" s="58" t="s">
        <v>102</v>
      </c>
      <c r="M9" s="61" t="str">
        <f>IF($U$4="C","1111",IF($U$4="T",IF(ISNA(VLOOKUP($M$7,TM,12,0)),"",VLOOKUP($M$7,TM,13,0)),""))</f>
        <v>1121</v>
      </c>
      <c r="N9" s="55"/>
      <c r="O9" s="55"/>
      <c r="P9" s="62"/>
      <c r="Q9" s="52"/>
      <c r="R9" s="52"/>
      <c r="S9" s="52"/>
      <c r="T9" s="52"/>
      <c r="U9" s="52"/>
      <c r="V9" s="52"/>
      <c r="W9" s="52"/>
    </row>
    <row r="10" spans="1:23" ht="15">
      <c r="A10" s="52"/>
      <c r="B10" s="52"/>
      <c r="C10" s="63" t="str">
        <f>IF($U$4="T","Họ tên người nộp tiền :","Họ và tên người nhận tiền :")&amp;" "&amp;IF(ISNA(VLOOKUP($M$7,TM,8,0)),"",VLOOKUP($M$7,TM,8,0))</f>
        <v>Họ tên người nộp tiền : Lê Tấn Quí</v>
      </c>
      <c r="D10" s="50"/>
      <c r="E10" s="52"/>
      <c r="F10" s="50"/>
      <c r="G10" s="50"/>
      <c r="H10" s="50"/>
      <c r="I10" s="50"/>
      <c r="J10" s="52"/>
      <c r="K10" s="50"/>
      <c r="L10" s="58"/>
      <c r="M10" s="61"/>
      <c r="N10" s="55"/>
      <c r="O10" s="50"/>
      <c r="P10" s="56"/>
      <c r="Q10" s="52"/>
      <c r="R10" s="52"/>
      <c r="S10" s="52"/>
      <c r="T10" s="52"/>
      <c r="U10" s="52"/>
      <c r="V10" s="52"/>
      <c r="W10" s="52"/>
    </row>
    <row r="11" spans="1:23" ht="15">
      <c r="A11" s="28"/>
      <c r="B11" s="28"/>
      <c r="C11" s="63" t="str">
        <f>"Địa chỉ :"</f>
        <v>Địa chỉ :</v>
      </c>
      <c r="D11" s="28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43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3" t="str">
        <f>IF($U$4="T","Lý do nộp :","Lý do chi :")&amp;" "&amp;IF(ISNA(VLOOKUP($M$7,TM,6,0)),"",VLOOKUP($M$7,TM,6,0))</f>
        <v>Lý do nộp : Rút tiền mặt</v>
      </c>
      <c r="D12" s="28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5">
        <f ca="1">SUMIF(TM,$M$7,TH)</f>
        <v>19000000</v>
      </c>
      <c r="E13" s="28" t="s">
        <v>103</v>
      </c>
      <c r="F13" s="65"/>
      <c r="G13" s="6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e">
        <f ca="1">"Viết bằng chữ: " &amp;[1]!VND('IN-TC'!D13, TRUE)</f>
        <v>#NAME?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3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3"/>
      <c r="E15" s="28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6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7"/>
      <c r="L16" s="67"/>
      <c r="M16" s="74" t="str">
        <f>H5</f>
        <v>Ngày  3  tháng  10  năm  2016</v>
      </c>
      <c r="N16" s="67"/>
      <c r="O16" s="67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8" t="s">
        <v>104</v>
      </c>
      <c r="D17" s="69"/>
      <c r="E17" s="68" t="s">
        <v>12</v>
      </c>
      <c r="F17" s="69"/>
      <c r="G17" s="69"/>
      <c r="H17" s="68" t="str">
        <f>IF($U$4="C","Thủ quỹ","Người nộp tiền")</f>
        <v>Người nộp tiền</v>
      </c>
      <c r="I17" s="28"/>
      <c r="J17" s="68" t="s">
        <v>105</v>
      </c>
      <c r="K17" s="69"/>
      <c r="L17" s="28"/>
      <c r="M17" s="70" t="str">
        <f>IF($U$4="T","Thủ quỹ","Người nhận tiền")</f>
        <v>Thủ quỹ</v>
      </c>
      <c r="N17" s="71"/>
      <c r="O17" s="71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9"/>
      <c r="B18" s="69"/>
      <c r="C18" s="72" t="s">
        <v>106</v>
      </c>
      <c r="D18" s="28"/>
      <c r="E18" s="72" t="s">
        <v>107</v>
      </c>
      <c r="F18" s="28"/>
      <c r="G18" s="28"/>
      <c r="H18" s="72" t="s">
        <v>107</v>
      </c>
      <c r="I18" s="69"/>
      <c r="J18" s="72" t="s">
        <v>107</v>
      </c>
      <c r="K18" s="28"/>
      <c r="L18" s="69"/>
      <c r="M18" s="72" t="s">
        <v>107</v>
      </c>
      <c r="N18" s="28"/>
      <c r="O18" s="28"/>
      <c r="P18" s="69"/>
      <c r="Q18" s="69"/>
      <c r="R18" s="69"/>
      <c r="S18" s="69"/>
      <c r="T18" s="69"/>
      <c r="U18" s="69"/>
      <c r="V18" s="69"/>
      <c r="W18" s="69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7"/>
      <c r="D24" s="28"/>
      <c r="E24" s="28"/>
      <c r="F24" s="28"/>
      <c r="G24" s="28"/>
      <c r="H24" s="127"/>
      <c r="I24" s="28"/>
      <c r="J24" s="127"/>
      <c r="K24" s="28"/>
      <c r="L24" s="28"/>
      <c r="M24" s="127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3"/>
      <c r="C26" s="63" t="s">
        <v>109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3"/>
      <c r="C27" s="63" t="s">
        <v>110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28"/>
      <c r="Q27" s="28"/>
      <c r="R27" s="28"/>
      <c r="S27" s="28"/>
      <c r="T27" s="28"/>
      <c r="U27" s="28"/>
      <c r="V27" s="28"/>
      <c r="W27" s="2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K9" sqref="K9"/>
    </sheetView>
  </sheetViews>
  <sheetFormatPr defaultRowHeight="15"/>
  <cols>
    <col min="1" max="1" width="9" style="101" customWidth="1"/>
    <col min="2" max="2" width="7" style="639" customWidth="1"/>
    <col min="3" max="3" width="9" style="101" customWidth="1"/>
    <col min="4" max="4" width="38.7109375" style="99" customWidth="1"/>
    <col min="5" max="5" width="7.5703125" style="99" customWidth="1"/>
    <col min="6" max="6" width="14.28515625" style="99" customWidth="1"/>
    <col min="7" max="7" width="14.5703125" style="99" customWidth="1"/>
    <col min="8" max="8" width="14.7109375" style="398" customWidth="1"/>
    <col min="9" max="9" width="6.5703125" style="99" customWidth="1"/>
    <col min="10" max="10" width="2.85546875" style="99" customWidth="1"/>
    <col min="11" max="11" width="9.140625" style="99" customWidth="1"/>
    <col min="12" max="12" width="3.28515625" style="99" customWidth="1"/>
    <col min="13" max="13" width="8" style="99" customWidth="1"/>
    <col min="14" max="15" width="3.85546875" style="99" hidden="1" customWidth="1"/>
    <col min="16" max="16" width="1.7109375" style="99" customWidth="1"/>
    <col min="17" max="17" width="12.85546875" style="99" bestFit="1" customWidth="1"/>
    <col min="18" max="19" width="12.7109375" style="99" customWidth="1"/>
    <col min="20" max="20" width="15.140625" style="99" customWidth="1"/>
    <col min="21" max="21" width="12" style="99" bestFit="1" customWidth="1"/>
    <col min="22" max="16384" width="9.140625" style="99"/>
  </cols>
  <sheetData>
    <row r="1" spans="1:21" ht="16.5" customHeight="1">
      <c r="A1" s="97" t="str">
        <f>TH!A1</f>
        <v>Đơn vị: CÔNG TY TNHH BAO BÌ GIẤY KIM DUNG PHÁT</v>
      </c>
      <c r="B1" s="100"/>
      <c r="F1" s="129"/>
      <c r="G1" s="129" t="s">
        <v>148</v>
      </c>
      <c r="H1" s="680"/>
      <c r="I1" s="129"/>
      <c r="K1" s="499"/>
      <c r="L1" s="499"/>
    </row>
    <row r="2" spans="1:21" ht="16.5" customHeight="1">
      <c r="A2" s="859" t="str">
        <f>TH!A2</f>
        <v>Địa chỉ: Ấp Rừng Sến, xã Mỹ Hạnh Bắc, Huyện Đức Hòa, Tỉnh Long An, Việt Nam</v>
      </c>
      <c r="B2" s="859"/>
      <c r="C2" s="859"/>
      <c r="D2" s="859"/>
      <c r="E2" s="859"/>
      <c r="F2" s="854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54"/>
      <c r="H2" s="854"/>
      <c r="I2" s="130"/>
      <c r="K2" s="500"/>
      <c r="L2" s="500"/>
    </row>
    <row r="3" spans="1:21" ht="16.5" customHeight="1">
      <c r="A3" s="859"/>
      <c r="B3" s="859"/>
      <c r="C3" s="859"/>
      <c r="D3" s="859"/>
      <c r="E3" s="859"/>
      <c r="F3" s="854"/>
      <c r="G3" s="854"/>
      <c r="H3" s="854"/>
      <c r="I3" s="130"/>
    </row>
    <row r="4" spans="1:21" ht="27.75" customHeight="1">
      <c r="A4" s="857" t="s">
        <v>132</v>
      </c>
      <c r="B4" s="857"/>
      <c r="C4" s="857"/>
      <c r="D4" s="857"/>
      <c r="E4" s="857"/>
      <c r="F4" s="857"/>
      <c r="G4" s="857"/>
      <c r="H4" s="857"/>
      <c r="I4" s="857"/>
    </row>
    <row r="5" spans="1:21">
      <c r="A5" s="858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58"/>
      <c r="C5" s="858"/>
      <c r="D5" s="858"/>
      <c r="E5" s="858"/>
      <c r="F5" s="858"/>
      <c r="G5" s="858"/>
      <c r="H5" s="858"/>
      <c r="I5" s="858"/>
    </row>
    <row r="6" spans="1:21">
      <c r="A6" s="99"/>
      <c r="B6" s="99"/>
      <c r="C6" s="99"/>
      <c r="D6" s="137" t="s">
        <v>152</v>
      </c>
      <c r="E6" s="858" t="str">
        <f>IF($M$9="VCB","0631000451708","")</f>
        <v>0631000451708</v>
      </c>
      <c r="F6" s="858"/>
      <c r="G6" s="858"/>
      <c r="H6" s="398" t="s">
        <v>103</v>
      </c>
      <c r="I6" s="138" t="str">
        <f>IF(H6="VNĐ","1121",IF(H6="USD","1122",""))</f>
        <v>1121</v>
      </c>
      <c r="N6" s="849" t="s">
        <v>322</v>
      </c>
      <c r="O6" s="849"/>
      <c r="Q6" s="855" t="s">
        <v>264</v>
      </c>
      <c r="R6" s="855" t="s">
        <v>472</v>
      </c>
      <c r="S6" s="855"/>
      <c r="T6" s="855"/>
    </row>
    <row r="7" spans="1:21" ht="8.25" customHeight="1" thickBot="1">
      <c r="A7" s="102"/>
      <c r="C7" s="102"/>
      <c r="D7" s="639"/>
      <c r="E7" s="639"/>
      <c r="F7" s="639"/>
      <c r="G7" s="639"/>
      <c r="H7" s="399"/>
      <c r="I7" s="639"/>
      <c r="Q7" s="856"/>
      <c r="R7" s="856"/>
      <c r="S7" s="856"/>
      <c r="T7" s="856"/>
    </row>
    <row r="8" spans="1:21" s="681" customFormat="1" ht="22.5" customHeight="1" thickBot="1">
      <c r="A8" s="862" t="s">
        <v>133</v>
      </c>
      <c r="B8" s="864" t="s">
        <v>1</v>
      </c>
      <c r="C8" s="865"/>
      <c r="D8" s="860" t="s">
        <v>0</v>
      </c>
      <c r="E8" s="866" t="s">
        <v>14</v>
      </c>
      <c r="F8" s="868" t="s">
        <v>134</v>
      </c>
      <c r="G8" s="868"/>
      <c r="H8" s="865"/>
      <c r="I8" s="860" t="s">
        <v>122</v>
      </c>
      <c r="K8" s="637"/>
      <c r="L8" s="99"/>
      <c r="N8" s="682">
        <f>IF(K9="Quý I",1,IF(K9="Quý II",4,IF(K9="Quý III",7,IF(K9="Quý IV",10,""))))</f>
        <v>10</v>
      </c>
      <c r="O8" s="683">
        <f>IF(K9="Quý I",3,IF(K9="Quý II",6,IF(K9="Quý III",9,IF(K9="Quý IV",12,""))))</f>
        <v>12</v>
      </c>
      <c r="Q8" s="684" t="s">
        <v>265</v>
      </c>
      <c r="R8" s="685"/>
      <c r="S8" s="685"/>
      <c r="T8" s="685"/>
      <c r="U8" s="686">
        <f>SUM(R8:T8)</f>
        <v>0</v>
      </c>
    </row>
    <row r="9" spans="1:21" s="681" customFormat="1" ht="22.5" customHeight="1" thickBot="1">
      <c r="A9" s="863"/>
      <c r="B9" s="687" t="s">
        <v>15</v>
      </c>
      <c r="C9" s="688" t="s">
        <v>135</v>
      </c>
      <c r="D9" s="861"/>
      <c r="E9" s="867"/>
      <c r="F9" s="687" t="s">
        <v>136</v>
      </c>
      <c r="G9" s="689" t="s">
        <v>137</v>
      </c>
      <c r="H9" s="690" t="s">
        <v>138</v>
      </c>
      <c r="I9" s="861"/>
      <c r="K9" s="448" t="s">
        <v>359</v>
      </c>
      <c r="L9" s="99"/>
      <c r="M9" s="691" t="s">
        <v>472</v>
      </c>
      <c r="Q9" s="99"/>
      <c r="R9" s="99"/>
      <c r="S9" s="99"/>
      <c r="T9" s="99"/>
      <c r="U9" s="99"/>
    </row>
    <row r="10" spans="1:21">
      <c r="A10" s="692" t="s">
        <v>2</v>
      </c>
      <c r="B10" s="693" t="s">
        <v>3</v>
      </c>
      <c r="C10" s="692" t="s">
        <v>4</v>
      </c>
      <c r="D10" s="693" t="s">
        <v>5</v>
      </c>
      <c r="E10" s="693" t="s">
        <v>6</v>
      </c>
      <c r="F10" s="693">
        <v>1</v>
      </c>
      <c r="G10" s="693">
        <v>2</v>
      </c>
      <c r="H10" s="693">
        <v>3</v>
      </c>
      <c r="I10" s="693" t="s">
        <v>125</v>
      </c>
    </row>
    <row r="11" spans="1:21" ht="18.75" customHeight="1">
      <c r="A11" s="694"/>
      <c r="B11" s="693"/>
      <c r="C11" s="694"/>
      <c r="D11" s="695" t="s">
        <v>7</v>
      </c>
      <c r="E11" s="695"/>
      <c r="F11" s="696"/>
      <c r="G11" s="696"/>
      <c r="H11" s="696">
        <f>IF($M$9="ACB",$R$8,IF($M$9="AGR",$S$8,$T$8))+SUMIF(_N112,"x",TH)-SUMIF(_C112,"x",TH)</f>
        <v>20360084</v>
      </c>
      <c r="I11" s="697"/>
      <c r="Q11" s="681"/>
      <c r="R11" s="681"/>
      <c r="S11" s="681"/>
      <c r="T11" s="681"/>
      <c r="U11" s="681"/>
    </row>
    <row r="12" spans="1:21" s="681" customFormat="1" ht="18.75" customHeight="1">
      <c r="A12" s="698">
        <f ca="1">IF(ROWS($1:1)&gt;COUNT(Dong2),"",OFFSET(TH!C$1,SMALL(Dong2,ROWS($1:1)),))</f>
        <v>42646</v>
      </c>
      <c r="B12" s="698" t="str">
        <f ca="1">IF(ROWS($1:1)&gt;COUNT(Dong2),"",OFFSET(TH!D$1,SMALL(Dong2,ROWS($1:1)),))</f>
        <v>T01</v>
      </c>
      <c r="C12" s="698">
        <f ca="1">IF(ROWS($1:1)&gt;COUNT(Dong2),"",OFFSET(TH!E$1,SMALL(Dong2,ROWS($1:1)),))</f>
        <v>42646</v>
      </c>
      <c r="D12" s="699" t="str">
        <f ca="1">IF(ROWS($1:1)&gt;COUNT(Dong2),"",OFFSET(TH!F$1,SMALL(Dong2,ROWS($1:1)),))</f>
        <v>Rút tiền mặt</v>
      </c>
      <c r="E12" s="698" t="str">
        <f ca="1">IF(ROWS($1:1)&gt;COUNT(Dong2),"",IF(OFFSET(TH!M$1,SMALL(Dong2,ROWS($1:1)),)=$I$6,OFFSET(TH!L$1,SMALL(Dong2,ROWS($1:1)),),OFFSET(TH!M$1,SMALL(Dong2,ROWS($1:1)),)))</f>
        <v>1111</v>
      </c>
      <c r="F12" s="700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00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701">
        <f ca="1">IF(A12&lt;&gt;"",H11+F12-G12,0)</f>
        <v>1360084</v>
      </c>
      <c r="I12" s="702"/>
      <c r="L12" s="99"/>
    </row>
    <row r="13" spans="1:21" s="681" customFormat="1" ht="18.75" customHeight="1">
      <c r="A13" s="698">
        <f ca="1">IF(ROWS($1:2)&gt;COUNT(Dong2),"",OFFSET(TH!C$1,SMALL(Dong2,ROWS($1:2)),))</f>
        <v>42647</v>
      </c>
      <c r="B13" s="698" t="str">
        <f ca="1">IF(ROWS($1:2)&gt;COUNT(Dong2),"",OFFSET(TH!D$1,SMALL(Dong2,ROWS($1:2)),))</f>
        <v>C04</v>
      </c>
      <c r="C13" s="698">
        <f ca="1">IF(ROWS($1:2)&gt;COUNT(Dong2),"",OFFSET(TH!E$1,SMALL(Dong2,ROWS($1:2)),))</f>
        <v>42647</v>
      </c>
      <c r="D13" s="699" t="str">
        <f ca="1">IF(ROWS($1:2)&gt;COUNT(Dong2),"",OFFSET(TH!F$1,SMALL(Dong2,ROWS($1:2)),))</f>
        <v>Nộp tiền mặt</v>
      </c>
      <c r="E13" s="698" t="str">
        <f ca="1">IF(ROWS($1:2)&gt;COUNT(Dong2),"",IF(OFFSET(TH!M$1,SMALL(Dong2,ROWS($1:2)),)=$I$6,OFFSET(TH!L$1,SMALL(Dong2,ROWS($1:2)),),OFFSET(TH!M$1,SMALL(Dong2,ROWS($1:2)),)))</f>
        <v>1111</v>
      </c>
      <c r="F13" s="700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700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01">
        <f t="shared" ref="H13:H76" ca="1" si="0">IF(A13&lt;&gt;"",H12+F13-G13,0)</f>
        <v>51360084</v>
      </c>
      <c r="I13" s="702"/>
      <c r="L13" s="99"/>
    </row>
    <row r="14" spans="1:21" s="681" customFormat="1" ht="18.75" customHeight="1">
      <c r="A14" s="698">
        <f ca="1">IF(ROWS($1:3)&gt;COUNT(Dong2),"",OFFSET(TH!C$1,SMALL(Dong2,ROWS($1:3)),))</f>
        <v>42647</v>
      </c>
      <c r="B14" s="698" t="str">
        <f ca="1">IF(ROWS($1:3)&gt;COUNT(Dong2),"",OFFSET(TH!D$1,SMALL(Dong2,ROWS($1:3)),))</f>
        <v>GBN</v>
      </c>
      <c r="C14" s="698">
        <f ca="1">IF(ROWS($1:3)&gt;COUNT(Dong2),"",OFFSET(TH!E$1,SMALL(Dong2,ROWS($1:3)),))</f>
        <v>42647</v>
      </c>
      <c r="D14" s="699" t="str">
        <f ca="1">IF(ROWS($1:3)&gt;COUNT(Dong2),"",OFFSET(TH!F$1,SMALL(Dong2,ROWS($1:3)),))</f>
        <v>Thanh toán tiền hàng</v>
      </c>
      <c r="E14" s="698" t="str">
        <f ca="1">IF(ROWS($1:3)&gt;COUNT(Dong2),"",IF(OFFSET(TH!M$1,SMALL(Dong2,ROWS($1:3)),)=$I$6,OFFSET(TH!L$1,SMALL(Dong2,ROWS($1:3)),),OFFSET(TH!M$1,SMALL(Dong2,ROWS($1:3)),)))</f>
        <v>331</v>
      </c>
      <c r="F14" s="700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700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701">
        <f t="shared" ca="1" si="0"/>
        <v>1360084</v>
      </c>
      <c r="I14" s="702"/>
      <c r="L14" s="99"/>
    </row>
    <row r="15" spans="1:21" s="681" customFormat="1" ht="18.75" customHeight="1">
      <c r="A15" s="698">
        <f ca="1">IF(ROWS($1:4)&gt;COUNT(Dong2),"",OFFSET(TH!C$1,SMALL(Dong2,ROWS($1:4)),))</f>
        <v>42647</v>
      </c>
      <c r="B15" s="698" t="str">
        <f ca="1">IF(ROWS($1:4)&gt;COUNT(Dong2),"",OFFSET(TH!D$1,SMALL(Dong2,ROWS($1:4)),))</f>
        <v>GBN</v>
      </c>
      <c r="C15" s="698">
        <f ca="1">IF(ROWS($1:4)&gt;COUNT(Dong2),"",OFFSET(TH!E$1,SMALL(Dong2,ROWS($1:4)),))</f>
        <v>42647</v>
      </c>
      <c r="D15" s="699" t="str">
        <f ca="1">IF(ROWS($1:4)&gt;COUNT(Dong2),"",OFFSET(TH!F$1,SMALL(Dong2,ROWS($1:4)),))</f>
        <v>Phí chuyển tiền</v>
      </c>
      <c r="E15" s="698" t="str">
        <f ca="1">IF(ROWS($1:4)&gt;COUNT(Dong2),"",IF(OFFSET(TH!M$1,SMALL(Dong2,ROWS($1:4)),)=$I$6,OFFSET(TH!L$1,SMALL(Dong2,ROWS($1:4)),),OFFSET(TH!M$1,SMALL(Dong2,ROWS($1:4)),)))</f>
        <v>642</v>
      </c>
      <c r="F15" s="700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700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01">
        <f t="shared" ca="1" si="0"/>
        <v>1350084</v>
      </c>
      <c r="I15" s="702"/>
      <c r="L15" s="99"/>
    </row>
    <row r="16" spans="1:21" s="681" customFormat="1" ht="18.75" customHeight="1">
      <c r="A16" s="698">
        <f ca="1">IF(ROWS($1:5)&gt;COUNT(Dong2),"",OFFSET(TH!C$1,SMALL(Dong2,ROWS($1:5)),))</f>
        <v>42647</v>
      </c>
      <c r="B16" s="698" t="str">
        <f ca="1">IF(ROWS($1:5)&gt;COUNT(Dong2),"",OFFSET(TH!D$1,SMALL(Dong2,ROWS($1:5)),))</f>
        <v>GBN</v>
      </c>
      <c r="C16" s="698">
        <f ca="1">IF(ROWS($1:5)&gt;COUNT(Dong2),"",OFFSET(TH!E$1,SMALL(Dong2,ROWS($1:5)),))</f>
        <v>42647</v>
      </c>
      <c r="D16" s="699" t="str">
        <f ca="1">IF(ROWS($1:5)&gt;COUNT(Dong2),"",OFFSET(TH!F$1,SMALL(Dong2,ROWS($1:5)),))</f>
        <v>VAT Phí chuyển tiền</v>
      </c>
      <c r="E16" s="698" t="str">
        <f ca="1">IF(ROWS($1:5)&gt;COUNT(Dong2),"",IF(OFFSET(TH!M$1,SMALL(Dong2,ROWS($1:5)),)=$I$6,OFFSET(TH!L$1,SMALL(Dong2,ROWS($1:5)),),OFFSET(TH!M$1,SMALL(Dong2,ROWS($1:5)),)))</f>
        <v>1331</v>
      </c>
      <c r="F16" s="700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700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701">
        <f t="shared" ca="1" si="0"/>
        <v>1349084</v>
      </c>
      <c r="I16" s="702"/>
      <c r="L16" s="99"/>
    </row>
    <row r="17" spans="1:17" s="681" customFormat="1" ht="18.75" customHeight="1">
      <c r="A17" s="698">
        <f ca="1">IF(ROWS($1:6)&gt;COUNT(Dong2),"",OFFSET(TH!C$1,SMALL(Dong2,ROWS($1:6)),))</f>
        <v>42657</v>
      </c>
      <c r="B17" s="698" t="str">
        <f ca="1">IF(ROWS($1:6)&gt;COUNT(Dong2),"",OFFSET(TH!D$1,SMALL(Dong2,ROWS($1:6)),))</f>
        <v>GBC</v>
      </c>
      <c r="C17" s="698">
        <f ca="1">IF(ROWS($1:6)&gt;COUNT(Dong2),"",OFFSET(TH!E$1,SMALL(Dong2,ROWS($1:6)),))</f>
        <v>42657</v>
      </c>
      <c r="D17" s="699" t="str">
        <f ca="1">IF(ROWS($1:6)&gt;COUNT(Dong2),"",OFFSET(TH!F$1,SMALL(Dong2,ROWS($1:6)),))</f>
        <v>Thu tiền hàng</v>
      </c>
      <c r="E17" s="698" t="str">
        <f ca="1">IF(ROWS($1:6)&gt;COUNT(Dong2),"",IF(OFFSET(TH!M$1,SMALL(Dong2,ROWS($1:6)),)=$I$6,OFFSET(TH!L$1,SMALL(Dong2,ROWS($1:6)),),OFFSET(TH!M$1,SMALL(Dong2,ROWS($1:6)),)))</f>
        <v>131</v>
      </c>
      <c r="F17" s="700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700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01">
        <f t="shared" ca="1" si="0"/>
        <v>44760034</v>
      </c>
      <c r="I17" s="702"/>
      <c r="L17" s="99"/>
    </row>
    <row r="18" spans="1:17" s="681" customFormat="1" ht="18.75" customHeight="1">
      <c r="A18" s="698">
        <f ca="1">IF(ROWS($1:7)&gt;COUNT(Dong2),"",OFFSET(TH!C$1,SMALL(Dong2,ROWS($1:7)),))</f>
        <v>42660</v>
      </c>
      <c r="B18" s="698" t="str">
        <f ca="1">IF(ROWS($1:7)&gt;COUNT(Dong2),"",OFFSET(TH!D$1,SMALL(Dong2,ROWS($1:7)),))</f>
        <v>GBN</v>
      </c>
      <c r="C18" s="698">
        <f ca="1">IF(ROWS($1:7)&gt;COUNT(Dong2),"",OFFSET(TH!E$1,SMALL(Dong2,ROWS($1:7)),))</f>
        <v>42660</v>
      </c>
      <c r="D18" s="699" t="str">
        <f ca="1">IF(ROWS($1:7)&gt;COUNT(Dong2),"",OFFSET(TH!F$1,SMALL(Dong2,ROWS($1:7)),))</f>
        <v>Thanh toán tiền thuê kho</v>
      </c>
      <c r="E18" s="698" t="str">
        <f ca="1">IF(ROWS($1:7)&gt;COUNT(Dong2),"",IF(OFFSET(TH!M$1,SMALL(Dong2,ROWS($1:7)),)=$I$6,OFFSET(TH!L$1,SMALL(Dong2,ROWS($1:7)),),OFFSET(TH!M$1,SMALL(Dong2,ROWS($1:7)),)))</f>
        <v>331</v>
      </c>
      <c r="F18" s="700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700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701">
        <f t="shared" ca="1" si="0"/>
        <v>4060034</v>
      </c>
      <c r="I18" s="702"/>
      <c r="L18" s="99"/>
    </row>
    <row r="19" spans="1:17" s="681" customFormat="1" ht="18.75" customHeight="1">
      <c r="A19" s="698">
        <f ca="1">IF(ROWS($1:8)&gt;COUNT(Dong2),"",OFFSET(TH!C$1,SMALL(Dong2,ROWS($1:8)),))</f>
        <v>42661</v>
      </c>
      <c r="B19" s="698" t="str">
        <f ca="1">IF(ROWS($1:8)&gt;COUNT(Dong2),"",OFFSET(TH!D$1,SMALL(Dong2,ROWS($1:8)),))</f>
        <v>T04</v>
      </c>
      <c r="C19" s="698">
        <f ca="1">IF(ROWS($1:8)&gt;COUNT(Dong2),"",OFFSET(TH!E$1,SMALL(Dong2,ROWS($1:8)),))</f>
        <v>42661</v>
      </c>
      <c r="D19" s="699" t="str">
        <f ca="1">IF(ROWS($1:8)&gt;COUNT(Dong2),"",OFFSET(TH!F$1,SMALL(Dong2,ROWS($1:8)),))</f>
        <v>Rút tiền mặt</v>
      </c>
      <c r="E19" s="698" t="str">
        <f ca="1">IF(ROWS($1:8)&gt;COUNT(Dong2),"",IF(OFFSET(TH!M$1,SMALL(Dong2,ROWS($1:8)),)=$I$6,OFFSET(TH!L$1,SMALL(Dong2,ROWS($1:8)),),OFFSET(TH!M$1,SMALL(Dong2,ROWS($1:8)),)))</f>
        <v>1111</v>
      </c>
      <c r="F19" s="700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700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701">
        <f t="shared" ca="1" si="0"/>
        <v>1060034</v>
      </c>
      <c r="I19" s="702"/>
      <c r="L19" s="99"/>
    </row>
    <row r="20" spans="1:17" s="681" customFormat="1" ht="18.75" customHeight="1">
      <c r="A20" s="698">
        <f ca="1">IF(ROWS($1:9)&gt;COUNT(Dong2),"",OFFSET(TH!C$1,SMALL(Dong2,ROWS($1:9)),))</f>
        <v>42662</v>
      </c>
      <c r="B20" s="698" t="str">
        <f ca="1">IF(ROWS($1:9)&gt;COUNT(Dong2),"",OFFSET(TH!D$1,SMALL(Dong2,ROWS($1:9)),))</f>
        <v>GBC</v>
      </c>
      <c r="C20" s="698">
        <f ca="1">IF(ROWS($1:9)&gt;COUNT(Dong2),"",OFFSET(TH!E$1,SMALL(Dong2,ROWS($1:9)),))</f>
        <v>42662</v>
      </c>
      <c r="D20" s="699" t="str">
        <f ca="1">IF(ROWS($1:9)&gt;COUNT(Dong2),"",OFFSET(TH!F$1,SMALL(Dong2,ROWS($1:9)),))</f>
        <v>Thu tiền hàng</v>
      </c>
      <c r="E20" s="698" t="str">
        <f ca="1">IF(ROWS($1:9)&gt;COUNT(Dong2),"",IF(OFFSET(TH!M$1,SMALL(Dong2,ROWS($1:9)),)=$I$6,OFFSET(TH!L$1,SMALL(Dong2,ROWS($1:9)),),OFFSET(TH!M$1,SMALL(Dong2,ROWS($1:9)),)))</f>
        <v>131</v>
      </c>
      <c r="F20" s="700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700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01">
        <f t="shared" ca="1" si="0"/>
        <v>105208034</v>
      </c>
      <c r="I20" s="702"/>
      <c r="L20" s="99"/>
    </row>
    <row r="21" spans="1:17" s="681" customFormat="1" ht="18.75" customHeight="1">
      <c r="A21" s="698">
        <f ca="1">IF(ROWS($1:10)&gt;COUNT(Dong2),"",OFFSET(TH!C$1,SMALL(Dong2,ROWS($1:10)),))</f>
        <v>42663</v>
      </c>
      <c r="B21" s="698" t="str">
        <f ca="1">IF(ROWS($1:10)&gt;COUNT(Dong2),"",OFFSET(TH!D$1,SMALL(Dong2,ROWS($1:10)),))</f>
        <v>T06</v>
      </c>
      <c r="C21" s="698">
        <f ca="1">IF(ROWS($1:10)&gt;COUNT(Dong2),"",OFFSET(TH!E$1,SMALL(Dong2,ROWS($1:10)),))</f>
        <v>42663</v>
      </c>
      <c r="D21" s="699" t="str">
        <f ca="1">IF(ROWS($1:10)&gt;COUNT(Dong2),"",OFFSET(TH!F$1,SMALL(Dong2,ROWS($1:10)),))</f>
        <v>Rút tiền mặt</v>
      </c>
      <c r="E21" s="698" t="str">
        <f ca="1">IF(ROWS($1:10)&gt;COUNT(Dong2),"",IF(OFFSET(TH!M$1,SMALL(Dong2,ROWS($1:10)),)=$I$6,OFFSET(TH!L$1,SMALL(Dong2,ROWS($1:10)),),OFFSET(TH!M$1,SMALL(Dong2,ROWS($1:10)),)))</f>
        <v>1111</v>
      </c>
      <c r="F21" s="700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700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701">
        <f t="shared" ca="1" si="0"/>
        <v>1208034</v>
      </c>
      <c r="I21" s="702"/>
      <c r="L21" s="99"/>
      <c r="Q21" s="686"/>
    </row>
    <row r="22" spans="1:17" s="681" customFormat="1" ht="18.75" customHeight="1">
      <c r="A22" s="698">
        <f ca="1">IF(ROWS($1:11)&gt;COUNT(Dong2),"",OFFSET(TH!C$1,SMALL(Dong2,ROWS($1:11)),))</f>
        <v>42667</v>
      </c>
      <c r="B22" s="698" t="str">
        <f ca="1">IF(ROWS($1:11)&gt;COUNT(Dong2),"",OFFSET(TH!D$1,SMALL(Dong2,ROWS($1:11)),))</f>
        <v>GBC</v>
      </c>
      <c r="C22" s="698">
        <f ca="1">IF(ROWS($1:11)&gt;COUNT(Dong2),"",OFFSET(TH!E$1,SMALL(Dong2,ROWS($1:11)),))</f>
        <v>42667</v>
      </c>
      <c r="D22" s="699" t="str">
        <f ca="1">IF(ROWS($1:11)&gt;COUNT(Dong2),"",OFFSET(TH!F$1,SMALL(Dong2,ROWS($1:11)),))</f>
        <v>Thu tiền hàng</v>
      </c>
      <c r="E22" s="698" t="str">
        <f ca="1">IF(ROWS($1:11)&gt;COUNT(Dong2),"",IF(OFFSET(TH!M$1,SMALL(Dong2,ROWS($1:11)),)=$I$6,OFFSET(TH!L$1,SMALL(Dong2,ROWS($1:11)),),OFFSET(TH!M$1,SMALL(Dong2,ROWS($1:11)),)))</f>
        <v>131</v>
      </c>
      <c r="F22" s="700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700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01">
        <f t="shared" ca="1" si="0"/>
        <v>4756194</v>
      </c>
      <c r="I22" s="702"/>
      <c r="L22" s="99"/>
    </row>
    <row r="23" spans="1:17" s="681" customFormat="1" ht="18.75" customHeight="1">
      <c r="A23" s="698">
        <f ca="1">IF(ROWS($1:12)&gt;COUNT(Dong2),"",OFFSET(TH!C$1,SMALL(Dong2,ROWS($1:12)),))</f>
        <v>42668</v>
      </c>
      <c r="B23" s="698" t="str">
        <f ca="1">IF(ROWS($1:12)&gt;COUNT(Dong2),"",OFFSET(TH!D$1,SMALL(Dong2,ROWS($1:12)),))</f>
        <v>GBC</v>
      </c>
      <c r="C23" s="698">
        <f ca="1">IF(ROWS($1:12)&gt;COUNT(Dong2),"",OFFSET(TH!E$1,SMALL(Dong2,ROWS($1:12)),))</f>
        <v>42668</v>
      </c>
      <c r="D23" s="699" t="str">
        <f ca="1">IF(ROWS($1:12)&gt;COUNT(Dong2),"",OFFSET(TH!F$1,SMALL(Dong2,ROWS($1:12)),))</f>
        <v>Lãi tiền gửi</v>
      </c>
      <c r="E23" s="698" t="str">
        <f ca="1">IF(ROWS($1:12)&gt;COUNT(Dong2),"",IF(OFFSET(TH!M$1,SMALL(Dong2,ROWS($1:12)),)=$I$6,OFFSET(TH!L$1,SMALL(Dong2,ROWS($1:12)),),OFFSET(TH!M$1,SMALL(Dong2,ROWS($1:12)),)))</f>
        <v>515</v>
      </c>
      <c r="F23" s="700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700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01">
        <f t="shared" ca="1" si="0"/>
        <v>4760866</v>
      </c>
      <c r="I23" s="702"/>
      <c r="L23" s="99"/>
      <c r="Q23" s="703"/>
    </row>
    <row r="24" spans="1:17" s="681" customFormat="1" ht="18.75" customHeight="1">
      <c r="A24" s="698">
        <f ca="1">IF(ROWS($1:13)&gt;COUNT(Dong2),"",OFFSET(TH!C$1,SMALL(Dong2,ROWS($1:13)),))</f>
        <v>42668</v>
      </c>
      <c r="B24" s="698" t="str">
        <f ca="1">IF(ROWS($1:13)&gt;COUNT(Dong2),"",OFFSET(TH!D$1,SMALL(Dong2,ROWS($1:13)),))</f>
        <v>T07</v>
      </c>
      <c r="C24" s="698">
        <f ca="1">IF(ROWS($1:13)&gt;COUNT(Dong2),"",OFFSET(TH!E$1,SMALL(Dong2,ROWS($1:13)),))</f>
        <v>42668</v>
      </c>
      <c r="D24" s="699" t="str">
        <f ca="1">IF(ROWS($1:13)&gt;COUNT(Dong2),"",OFFSET(TH!F$1,SMALL(Dong2,ROWS($1:13)),))</f>
        <v>Rút tiền mặt</v>
      </c>
      <c r="E24" s="698" t="str">
        <f ca="1">IF(ROWS($1:13)&gt;COUNT(Dong2),"",IF(OFFSET(TH!M$1,SMALL(Dong2,ROWS($1:13)),)=$I$6,OFFSET(TH!L$1,SMALL(Dong2,ROWS($1:13)),),OFFSET(TH!M$1,SMALL(Dong2,ROWS($1:13)),)))</f>
        <v>1111</v>
      </c>
      <c r="F24" s="700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700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701">
        <f t="shared" ca="1" si="0"/>
        <v>1260866</v>
      </c>
      <c r="I24" s="702"/>
      <c r="L24" s="99"/>
    </row>
    <row r="25" spans="1:17" s="681" customFormat="1" ht="18.75" customHeight="1">
      <c r="A25" s="698">
        <f ca="1">IF(ROWS($1:14)&gt;COUNT(Dong2),"",OFFSET(TH!C$1,SMALL(Dong2,ROWS($1:14)),))</f>
        <v>42668</v>
      </c>
      <c r="B25" s="698" t="str">
        <f ca="1">IF(ROWS($1:14)&gt;COUNT(Dong2),"",OFFSET(TH!D$1,SMALL(Dong2,ROWS($1:14)),))</f>
        <v>GBN</v>
      </c>
      <c r="C25" s="698">
        <f ca="1">IF(ROWS($1:14)&gt;COUNT(Dong2),"",OFFSET(TH!E$1,SMALL(Dong2,ROWS($1:14)),))</f>
        <v>42668</v>
      </c>
      <c r="D25" s="699" t="str">
        <f ca="1">IF(ROWS($1:14)&gt;COUNT(Dong2),"",OFFSET(TH!F$1,SMALL(Dong2,ROWS($1:14)),))</f>
        <v>Phí quản lý tài khoản</v>
      </c>
      <c r="E25" s="698" t="str">
        <f ca="1">IF(ROWS($1:14)&gt;COUNT(Dong2),"",IF(OFFSET(TH!M$1,SMALL(Dong2,ROWS($1:14)),)=$I$6,OFFSET(TH!L$1,SMALL(Dong2,ROWS($1:14)),),OFFSET(TH!M$1,SMALL(Dong2,ROWS($1:14)),)))</f>
        <v>642</v>
      </c>
      <c r="F25" s="700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700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01">
        <f t="shared" ca="1" si="0"/>
        <v>1250866</v>
      </c>
      <c r="I25" s="702"/>
      <c r="L25" s="99"/>
    </row>
    <row r="26" spans="1:17" s="681" customFormat="1" ht="18.75" customHeight="1">
      <c r="A26" s="698">
        <f ca="1">IF(ROWS($1:15)&gt;COUNT(Dong2),"",OFFSET(TH!C$1,SMALL(Dong2,ROWS($1:15)),))</f>
        <v>42668</v>
      </c>
      <c r="B26" s="698" t="str">
        <f ca="1">IF(ROWS($1:15)&gt;COUNT(Dong2),"",OFFSET(TH!D$1,SMALL(Dong2,ROWS($1:15)),))</f>
        <v>GBN</v>
      </c>
      <c r="C26" s="698">
        <f ca="1">IF(ROWS($1:15)&gt;COUNT(Dong2),"",OFFSET(TH!E$1,SMALL(Dong2,ROWS($1:15)),))</f>
        <v>42668</v>
      </c>
      <c r="D26" s="699" t="str">
        <f ca="1">IF(ROWS($1:15)&gt;COUNT(Dong2),"",OFFSET(TH!F$1,SMALL(Dong2,ROWS($1:15)),))</f>
        <v>VAT Phí quản lý tài khoản</v>
      </c>
      <c r="E26" s="698" t="str">
        <f ca="1">IF(ROWS($1:15)&gt;COUNT(Dong2),"",IF(OFFSET(TH!M$1,SMALL(Dong2,ROWS($1:15)),)=$I$6,OFFSET(TH!L$1,SMALL(Dong2,ROWS($1:15)),),OFFSET(TH!M$1,SMALL(Dong2,ROWS($1:15)),)))</f>
        <v>1331</v>
      </c>
      <c r="F26" s="700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700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701">
        <f t="shared" ca="1" si="0"/>
        <v>1249866</v>
      </c>
      <c r="I26" s="702"/>
      <c r="L26" s="99"/>
    </row>
    <row r="27" spans="1:17" s="681" customFormat="1" ht="18.75" customHeight="1">
      <c r="A27" s="698">
        <f ca="1">IF(ROWS($1:16)&gt;COUNT(Dong2),"",OFFSET(TH!C$1,SMALL(Dong2,ROWS($1:16)),))</f>
        <v>42677</v>
      </c>
      <c r="B27" s="698" t="str">
        <f ca="1">IF(ROWS($1:16)&gt;COUNT(Dong2),"",OFFSET(TH!D$1,SMALL(Dong2,ROWS($1:16)),))</f>
        <v>GBC</v>
      </c>
      <c r="C27" s="698">
        <f ca="1">IF(ROWS($1:16)&gt;COUNT(Dong2),"",OFFSET(TH!E$1,SMALL(Dong2,ROWS($1:16)),))</f>
        <v>42677</v>
      </c>
      <c r="D27" s="699" t="str">
        <f ca="1">IF(ROWS($1:16)&gt;COUNT(Dong2),"",OFFSET(TH!F$1,SMALL(Dong2,ROWS($1:16)),))</f>
        <v>Thu tiền hàng</v>
      </c>
      <c r="E27" s="698" t="str">
        <f ca="1">IF(ROWS($1:16)&gt;COUNT(Dong2),"",IF(OFFSET(TH!M$1,SMALL(Dong2,ROWS($1:16)),)=$I$6,OFFSET(TH!L$1,SMALL(Dong2,ROWS($1:16)),),OFFSET(TH!M$1,SMALL(Dong2,ROWS($1:16)),)))</f>
        <v>131</v>
      </c>
      <c r="F27" s="700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700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01">
        <f t="shared" ca="1" si="0"/>
        <v>85465866</v>
      </c>
      <c r="I27" s="702"/>
      <c r="L27" s="99"/>
    </row>
    <row r="28" spans="1:17" s="681" customFormat="1" ht="18.75" customHeight="1">
      <c r="A28" s="698">
        <f ca="1">IF(ROWS($1:17)&gt;COUNT(Dong2),"",OFFSET(TH!C$1,SMALL(Dong2,ROWS($1:17)),))</f>
        <v>42678</v>
      </c>
      <c r="B28" s="698" t="str">
        <f ca="1">IF(ROWS($1:17)&gt;COUNT(Dong2),"",OFFSET(TH!D$1,SMALL(Dong2,ROWS($1:17)),))</f>
        <v>GBN</v>
      </c>
      <c r="C28" s="698">
        <f ca="1">IF(ROWS($1:17)&gt;COUNT(Dong2),"",OFFSET(TH!E$1,SMALL(Dong2,ROWS($1:17)),))</f>
        <v>42678</v>
      </c>
      <c r="D28" s="699" t="str">
        <f ca="1">IF(ROWS($1:17)&gt;COUNT(Dong2),"",OFFSET(TH!F$1,SMALL(Dong2,ROWS($1:17)),))</f>
        <v>Thanh toán tiền hàng</v>
      </c>
      <c r="E28" s="698" t="str">
        <f ca="1">IF(ROWS($1:17)&gt;COUNT(Dong2),"",IF(OFFSET(TH!M$1,SMALL(Dong2,ROWS($1:17)),)=$I$6,OFFSET(TH!L$1,SMALL(Dong2,ROWS($1:17)),),OFFSET(TH!M$1,SMALL(Dong2,ROWS($1:17)),)))</f>
        <v>331</v>
      </c>
      <c r="F28" s="700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700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701">
        <f t="shared" ca="1" si="0"/>
        <v>60465866</v>
      </c>
      <c r="I28" s="702"/>
      <c r="L28" s="99"/>
    </row>
    <row r="29" spans="1:17" s="681" customFormat="1" ht="18.75" customHeight="1">
      <c r="A29" s="698">
        <f ca="1">IF(ROWS($1:18)&gt;COUNT(Dong2),"",OFFSET(TH!C$1,SMALL(Dong2,ROWS($1:18)),))</f>
        <v>42678</v>
      </c>
      <c r="B29" s="698" t="str">
        <f ca="1">IF(ROWS($1:18)&gt;COUNT(Dong2),"",OFFSET(TH!D$1,SMALL(Dong2,ROWS($1:18)),))</f>
        <v>GBN</v>
      </c>
      <c r="C29" s="698">
        <f ca="1">IF(ROWS($1:18)&gt;COUNT(Dong2),"",OFFSET(TH!E$1,SMALL(Dong2,ROWS($1:18)),))</f>
        <v>42678</v>
      </c>
      <c r="D29" s="699" t="str">
        <f ca="1">IF(ROWS($1:18)&gt;COUNT(Dong2),"",OFFSET(TH!F$1,SMALL(Dong2,ROWS($1:18)),))</f>
        <v>Phí chuyển tiền</v>
      </c>
      <c r="E29" s="698" t="str">
        <f ca="1">IF(ROWS($1:18)&gt;COUNT(Dong2),"",IF(OFFSET(TH!M$1,SMALL(Dong2,ROWS($1:18)),)=$I$6,OFFSET(TH!L$1,SMALL(Dong2,ROWS($1:18)),),OFFSET(TH!M$1,SMALL(Dong2,ROWS($1:18)),)))</f>
        <v>642</v>
      </c>
      <c r="F29" s="700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700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701">
        <f t="shared" ca="1" si="0"/>
        <v>60445866</v>
      </c>
      <c r="I29" s="702"/>
      <c r="L29" s="99"/>
    </row>
    <row r="30" spans="1:17" s="681" customFormat="1" ht="18.75" customHeight="1">
      <c r="A30" s="698">
        <f ca="1">IF(ROWS($1:19)&gt;COUNT(Dong2),"",OFFSET(TH!C$1,SMALL(Dong2,ROWS($1:19)),))</f>
        <v>42678</v>
      </c>
      <c r="B30" s="698" t="str">
        <f ca="1">IF(ROWS($1:19)&gt;COUNT(Dong2),"",OFFSET(TH!D$1,SMALL(Dong2,ROWS($1:19)),))</f>
        <v>GBN</v>
      </c>
      <c r="C30" s="698">
        <f ca="1">IF(ROWS($1:19)&gt;COUNT(Dong2),"",OFFSET(TH!E$1,SMALL(Dong2,ROWS($1:19)),))</f>
        <v>42678</v>
      </c>
      <c r="D30" s="699" t="str">
        <f ca="1">IF(ROWS($1:19)&gt;COUNT(Dong2),"",OFFSET(TH!F$1,SMALL(Dong2,ROWS($1:19)),))</f>
        <v>VAT Phí chuyển tiền</v>
      </c>
      <c r="E30" s="698" t="str">
        <f ca="1">IF(ROWS($1:19)&gt;COUNT(Dong2),"",IF(OFFSET(TH!M$1,SMALL(Dong2,ROWS($1:19)),)=$I$6,OFFSET(TH!L$1,SMALL(Dong2,ROWS($1:19)),),OFFSET(TH!M$1,SMALL(Dong2,ROWS($1:19)),)))</f>
        <v>1331</v>
      </c>
      <c r="F30" s="700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700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701">
        <f t="shared" ca="1" si="0"/>
        <v>60443866</v>
      </c>
      <c r="I30" s="702"/>
      <c r="L30" s="99"/>
    </row>
    <row r="31" spans="1:17" s="681" customFormat="1" ht="18.75" customHeight="1">
      <c r="A31" s="698">
        <f ca="1">IF(ROWS($1:20)&gt;COUNT(Dong2),"",OFFSET(TH!C$1,SMALL(Dong2,ROWS($1:20)),))</f>
        <v>42678</v>
      </c>
      <c r="B31" s="698" t="str">
        <f ca="1">IF(ROWS($1:20)&gt;COUNT(Dong2),"",OFFSET(TH!D$1,SMALL(Dong2,ROWS($1:20)),))</f>
        <v>T08</v>
      </c>
      <c r="C31" s="698">
        <f ca="1">IF(ROWS($1:20)&gt;COUNT(Dong2),"",OFFSET(TH!E$1,SMALL(Dong2,ROWS($1:20)),))</f>
        <v>42678</v>
      </c>
      <c r="D31" s="699" t="str">
        <f ca="1">IF(ROWS($1:20)&gt;COUNT(Dong2),"",OFFSET(TH!F$1,SMALL(Dong2,ROWS($1:20)),))</f>
        <v>Rút tiền mặt</v>
      </c>
      <c r="E31" s="698" t="str">
        <f ca="1">IF(ROWS($1:20)&gt;COUNT(Dong2),"",IF(OFFSET(TH!M$1,SMALL(Dong2,ROWS($1:20)),)=$I$6,OFFSET(TH!L$1,SMALL(Dong2,ROWS($1:20)),),OFFSET(TH!M$1,SMALL(Dong2,ROWS($1:20)),)))</f>
        <v>1111</v>
      </c>
      <c r="F31" s="700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700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701">
        <f t="shared" ca="1" si="0"/>
        <v>1443866</v>
      </c>
      <c r="I31" s="702"/>
      <c r="L31" s="99"/>
    </row>
    <row r="32" spans="1:17" s="681" customFormat="1" ht="18.75" customHeight="1">
      <c r="A32" s="698">
        <f ca="1">IF(ROWS($1:21)&gt;COUNT(Dong2),"",OFFSET(TH!C$1,SMALL(Dong2,ROWS($1:21)),))</f>
        <v>42684</v>
      </c>
      <c r="B32" s="698" t="str">
        <f ca="1">IF(ROWS($1:21)&gt;COUNT(Dong2),"",OFFSET(TH!D$1,SMALL(Dong2,ROWS($1:21)),))</f>
        <v>GBC</v>
      </c>
      <c r="C32" s="698">
        <f ca="1">IF(ROWS($1:21)&gt;COUNT(Dong2),"",OFFSET(TH!E$1,SMALL(Dong2,ROWS($1:21)),))</f>
        <v>42684</v>
      </c>
      <c r="D32" s="699" t="str">
        <f ca="1">IF(ROWS($1:21)&gt;COUNT(Dong2),"",OFFSET(TH!F$1,SMALL(Dong2,ROWS($1:21)),))</f>
        <v>Thu tiền hàng</v>
      </c>
      <c r="E32" s="698" t="str">
        <f ca="1">IF(ROWS($1:21)&gt;COUNT(Dong2),"",IF(OFFSET(TH!M$1,SMALL(Dong2,ROWS($1:21)),)=$I$6,OFFSET(TH!L$1,SMALL(Dong2,ROWS($1:21)),),OFFSET(TH!M$1,SMALL(Dong2,ROWS($1:21)),)))</f>
        <v>131</v>
      </c>
      <c r="F32" s="700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700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1">
        <f t="shared" ca="1" si="0"/>
        <v>31314366</v>
      </c>
      <c r="I32" s="702"/>
      <c r="L32" s="99"/>
    </row>
    <row r="33" spans="1:12" s="681" customFormat="1" ht="18.75" customHeight="1">
      <c r="A33" s="698">
        <f ca="1">IF(ROWS($1:22)&gt;COUNT(Dong2),"",OFFSET(TH!C$1,SMALL(Dong2,ROWS($1:22)),))</f>
        <v>42685</v>
      </c>
      <c r="B33" s="698" t="str">
        <f ca="1">IF(ROWS($1:22)&gt;COUNT(Dong2),"",OFFSET(TH!D$1,SMALL(Dong2,ROWS($1:22)),))</f>
        <v>GBN</v>
      </c>
      <c r="C33" s="698">
        <f ca="1">IF(ROWS($1:22)&gt;COUNT(Dong2),"",OFFSET(TH!E$1,SMALL(Dong2,ROWS($1:22)),))</f>
        <v>42685</v>
      </c>
      <c r="D33" s="699" t="str">
        <f ca="1">IF(ROWS($1:22)&gt;COUNT(Dong2),"",OFFSET(TH!F$1,SMALL(Dong2,ROWS($1:22)),))</f>
        <v>Thanh toán tiền hàng</v>
      </c>
      <c r="E33" s="698" t="str">
        <f ca="1">IF(ROWS($1:22)&gt;COUNT(Dong2),"",IF(OFFSET(TH!M$1,SMALL(Dong2,ROWS($1:22)),)=$I$6,OFFSET(TH!L$1,SMALL(Dong2,ROWS($1:22)),),OFFSET(TH!M$1,SMALL(Dong2,ROWS($1:22)),)))</f>
        <v>331</v>
      </c>
      <c r="F33" s="700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700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701">
        <f t="shared" ca="1" si="0"/>
        <v>19314366</v>
      </c>
      <c r="I33" s="702"/>
      <c r="L33" s="99"/>
    </row>
    <row r="34" spans="1:12" s="681" customFormat="1" ht="18.75" customHeight="1">
      <c r="A34" s="698">
        <f ca="1">IF(ROWS($1:23)&gt;COUNT(Dong2),"",OFFSET(TH!C$1,SMALL(Dong2,ROWS($1:23)),))</f>
        <v>42685</v>
      </c>
      <c r="B34" s="698" t="str">
        <f ca="1">IF(ROWS($1:23)&gt;COUNT(Dong2),"",OFFSET(TH!D$1,SMALL(Dong2,ROWS($1:23)),))</f>
        <v>GBN</v>
      </c>
      <c r="C34" s="698">
        <f ca="1">IF(ROWS($1:23)&gt;COUNT(Dong2),"",OFFSET(TH!E$1,SMALL(Dong2,ROWS($1:23)),))</f>
        <v>42685</v>
      </c>
      <c r="D34" s="699" t="str">
        <f ca="1">IF(ROWS($1:23)&gt;COUNT(Dong2),"",OFFSET(TH!F$1,SMALL(Dong2,ROWS($1:23)),))</f>
        <v>Phí chuyển tiền</v>
      </c>
      <c r="E34" s="698" t="str">
        <f ca="1">IF(ROWS($1:23)&gt;COUNT(Dong2),"",IF(OFFSET(TH!M$1,SMALL(Dong2,ROWS($1:23)),)=$I$6,OFFSET(TH!L$1,SMALL(Dong2,ROWS($1:23)),),OFFSET(TH!M$1,SMALL(Dong2,ROWS($1:23)),)))</f>
        <v>642</v>
      </c>
      <c r="F34" s="700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700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701">
        <f t="shared" ca="1" si="0"/>
        <v>19294366</v>
      </c>
      <c r="I34" s="702"/>
      <c r="L34" s="99"/>
    </row>
    <row r="35" spans="1:12" s="681" customFormat="1" ht="18.75" customHeight="1">
      <c r="A35" s="698">
        <f ca="1">IF(ROWS($1:24)&gt;COUNT(Dong2),"",OFFSET(TH!C$1,SMALL(Dong2,ROWS($1:24)),))</f>
        <v>42685</v>
      </c>
      <c r="B35" s="698" t="str">
        <f ca="1">IF(ROWS($1:24)&gt;COUNT(Dong2),"",OFFSET(TH!D$1,SMALL(Dong2,ROWS($1:24)),))</f>
        <v>GBN</v>
      </c>
      <c r="C35" s="698">
        <f ca="1">IF(ROWS($1:24)&gt;COUNT(Dong2),"",OFFSET(TH!E$1,SMALL(Dong2,ROWS($1:24)),))</f>
        <v>42685</v>
      </c>
      <c r="D35" s="699" t="str">
        <f ca="1">IF(ROWS($1:24)&gt;COUNT(Dong2),"",OFFSET(TH!F$1,SMALL(Dong2,ROWS($1:24)),))</f>
        <v>VAT Phí chuyển tiền</v>
      </c>
      <c r="E35" s="698" t="str">
        <f ca="1">IF(ROWS($1:24)&gt;COUNT(Dong2),"",IF(OFFSET(TH!M$1,SMALL(Dong2,ROWS($1:24)),)=$I$6,OFFSET(TH!L$1,SMALL(Dong2,ROWS($1:24)),),OFFSET(TH!M$1,SMALL(Dong2,ROWS($1:24)),)))</f>
        <v>1331</v>
      </c>
      <c r="F35" s="700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700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701">
        <f t="shared" ca="1" si="0"/>
        <v>19292366</v>
      </c>
      <c r="I35" s="702"/>
      <c r="L35" s="99"/>
    </row>
    <row r="36" spans="1:12" s="681" customFormat="1" ht="18.75" customHeight="1">
      <c r="A36" s="698">
        <f ca="1">IF(ROWS($1:25)&gt;COUNT(Dong2),"",OFFSET(TH!C$1,SMALL(Dong2,ROWS($1:25)),))</f>
        <v>42685</v>
      </c>
      <c r="B36" s="698" t="str">
        <f ca="1">IF(ROWS($1:25)&gt;COUNT(Dong2),"",OFFSET(TH!D$1,SMALL(Dong2,ROWS($1:25)),))</f>
        <v>T11</v>
      </c>
      <c r="C36" s="698">
        <f ca="1">IF(ROWS($1:25)&gt;COUNT(Dong2),"",OFFSET(TH!E$1,SMALL(Dong2,ROWS($1:25)),))</f>
        <v>42685</v>
      </c>
      <c r="D36" s="699" t="str">
        <f ca="1">IF(ROWS($1:25)&gt;COUNT(Dong2),"",OFFSET(TH!F$1,SMALL(Dong2,ROWS($1:25)),))</f>
        <v>Rút tiền mặt</v>
      </c>
      <c r="E36" s="698" t="str">
        <f ca="1">IF(ROWS($1:25)&gt;COUNT(Dong2),"",IF(OFFSET(TH!M$1,SMALL(Dong2,ROWS($1:25)),)=$I$6,OFFSET(TH!L$1,SMALL(Dong2,ROWS($1:25)),),OFFSET(TH!M$1,SMALL(Dong2,ROWS($1:25)),)))</f>
        <v>1111</v>
      </c>
      <c r="F36" s="700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700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701">
        <f t="shared" ca="1" si="0"/>
        <v>1292366</v>
      </c>
      <c r="I36" s="702"/>
      <c r="L36" s="99"/>
    </row>
    <row r="37" spans="1:12" s="681" customFormat="1" ht="18.75" customHeight="1">
      <c r="A37" s="698">
        <f ca="1">IF(ROWS($1:26)&gt;COUNT(Dong2),"",OFFSET(TH!C$1,SMALL(Dong2,ROWS($1:26)),))</f>
        <v>42688</v>
      </c>
      <c r="B37" s="698" t="str">
        <f ca="1">IF(ROWS($1:26)&gt;COUNT(Dong2),"",OFFSET(TH!D$1,SMALL(Dong2,ROWS($1:26)),))</f>
        <v>C18</v>
      </c>
      <c r="C37" s="698">
        <f ca="1">IF(ROWS($1:26)&gt;COUNT(Dong2),"",OFFSET(TH!E$1,SMALL(Dong2,ROWS($1:26)),))</f>
        <v>42688</v>
      </c>
      <c r="D37" s="699" t="str">
        <f ca="1">IF(ROWS($1:26)&gt;COUNT(Dong2),"",OFFSET(TH!F$1,SMALL(Dong2,ROWS($1:26)),))</f>
        <v>Nộp tiền mặt</v>
      </c>
      <c r="E37" s="698" t="str">
        <f ca="1">IF(ROWS($1:26)&gt;COUNT(Dong2),"",IF(OFFSET(TH!M$1,SMALL(Dong2,ROWS($1:26)),)=$I$6,OFFSET(TH!L$1,SMALL(Dong2,ROWS($1:26)),),OFFSET(TH!M$1,SMALL(Dong2,ROWS($1:26)),)))</f>
        <v>1111</v>
      </c>
      <c r="F37" s="700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700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701">
        <f t="shared" ca="1" si="0"/>
        <v>21292366</v>
      </c>
      <c r="I37" s="702"/>
      <c r="L37" s="99"/>
    </row>
    <row r="38" spans="1:12" s="681" customFormat="1" ht="18.75" customHeight="1">
      <c r="A38" s="698">
        <f ca="1">IF(ROWS($1:27)&gt;COUNT(Dong2),"",OFFSET(TH!C$1,SMALL(Dong2,ROWS($1:27)),))</f>
        <v>42688</v>
      </c>
      <c r="B38" s="698" t="str">
        <f ca="1">IF(ROWS($1:27)&gt;COUNT(Dong2),"",OFFSET(TH!D$1,SMALL(Dong2,ROWS($1:27)),))</f>
        <v>GBN</v>
      </c>
      <c r="C38" s="698">
        <f ca="1">IF(ROWS($1:27)&gt;COUNT(Dong2),"",OFFSET(TH!E$1,SMALL(Dong2,ROWS($1:27)),))</f>
        <v>42688</v>
      </c>
      <c r="D38" s="699" t="str">
        <f ca="1">IF(ROWS($1:27)&gt;COUNT(Dong2),"",OFFSET(TH!F$1,SMALL(Dong2,ROWS($1:27)),))</f>
        <v>Phí nộp tiền chuyển trong ngày</v>
      </c>
      <c r="E38" s="698" t="str">
        <f ca="1">IF(ROWS($1:27)&gt;COUNT(Dong2),"",IF(OFFSET(TH!M$1,SMALL(Dong2,ROWS($1:27)),)=$I$6,OFFSET(TH!L$1,SMALL(Dong2,ROWS($1:27)),),OFFSET(TH!M$1,SMALL(Dong2,ROWS($1:27)),)))</f>
        <v>642</v>
      </c>
      <c r="F38" s="700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700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701">
        <f t="shared" ca="1" si="0"/>
        <v>21272366</v>
      </c>
      <c r="I38" s="702"/>
      <c r="L38" s="99"/>
    </row>
    <row r="39" spans="1:12" s="681" customFormat="1" ht="18.75" customHeight="1">
      <c r="A39" s="698">
        <f ca="1">IF(ROWS($1:28)&gt;COUNT(Dong2),"",OFFSET(TH!C$1,SMALL(Dong2,ROWS($1:28)),))</f>
        <v>42688</v>
      </c>
      <c r="B39" s="698" t="str">
        <f ca="1">IF(ROWS($1:28)&gt;COUNT(Dong2),"",OFFSET(TH!D$1,SMALL(Dong2,ROWS($1:28)),))</f>
        <v>GBN</v>
      </c>
      <c r="C39" s="698">
        <f ca="1">IF(ROWS($1:28)&gt;COUNT(Dong2),"",OFFSET(TH!E$1,SMALL(Dong2,ROWS($1:28)),))</f>
        <v>42688</v>
      </c>
      <c r="D39" s="699" t="str">
        <f ca="1">IF(ROWS($1:28)&gt;COUNT(Dong2),"",OFFSET(TH!F$1,SMALL(Dong2,ROWS($1:28)),))</f>
        <v>VAT Phí nộp tiền chuyển trong ngày</v>
      </c>
      <c r="E39" s="698" t="str">
        <f ca="1">IF(ROWS($1:28)&gt;COUNT(Dong2),"",IF(OFFSET(TH!M$1,SMALL(Dong2,ROWS($1:28)),)=$I$6,OFFSET(TH!L$1,SMALL(Dong2,ROWS($1:28)),),OFFSET(TH!M$1,SMALL(Dong2,ROWS($1:28)),)))</f>
        <v>1331</v>
      </c>
      <c r="F39" s="700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700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701">
        <f t="shared" ca="1" si="0"/>
        <v>21270366</v>
      </c>
      <c r="I39" s="702"/>
      <c r="L39" s="99"/>
    </row>
    <row r="40" spans="1:12" s="681" customFormat="1" ht="18.75" customHeight="1">
      <c r="A40" s="698">
        <f ca="1">IF(ROWS($1:29)&gt;COUNT(Dong2),"",OFFSET(TH!C$1,SMALL(Dong2,ROWS($1:29)),))</f>
        <v>42688</v>
      </c>
      <c r="B40" s="698" t="str">
        <f ca="1">IF(ROWS($1:29)&gt;COUNT(Dong2),"",OFFSET(TH!D$1,SMALL(Dong2,ROWS($1:29)),))</f>
        <v>GBN</v>
      </c>
      <c r="C40" s="698">
        <f ca="1">IF(ROWS($1:29)&gt;COUNT(Dong2),"",OFFSET(TH!E$1,SMALL(Dong2,ROWS($1:29)),))</f>
        <v>42688</v>
      </c>
      <c r="D40" s="699" t="str">
        <f ca="1">IF(ROWS($1:29)&gt;COUNT(Dong2),"",OFFSET(TH!F$1,SMALL(Dong2,ROWS($1:29)),))</f>
        <v>Thanh toán tiền hàng</v>
      </c>
      <c r="E40" s="698" t="str">
        <f ca="1">IF(ROWS($1:29)&gt;COUNT(Dong2),"",IF(OFFSET(TH!M$1,SMALL(Dong2,ROWS($1:29)),)=$I$6,OFFSET(TH!L$1,SMALL(Dong2,ROWS($1:29)),),OFFSET(TH!M$1,SMALL(Dong2,ROWS($1:29)),)))</f>
        <v>331</v>
      </c>
      <c r="F40" s="700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700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701">
        <f t="shared" ca="1" si="0"/>
        <v>1270366</v>
      </c>
      <c r="I40" s="702"/>
    </row>
    <row r="41" spans="1:12" s="681" customFormat="1" ht="18.75" customHeight="1">
      <c r="A41" s="698">
        <f ca="1">IF(ROWS($1:30)&gt;COUNT(Dong2),"",OFFSET(TH!C$1,SMALL(Dong2,ROWS($1:30)),))</f>
        <v>42688</v>
      </c>
      <c r="B41" s="698" t="str">
        <f ca="1">IF(ROWS($1:30)&gt;COUNT(Dong2),"",OFFSET(TH!D$1,SMALL(Dong2,ROWS($1:30)),))</f>
        <v>GBN</v>
      </c>
      <c r="C41" s="698">
        <f ca="1">IF(ROWS($1:30)&gt;COUNT(Dong2),"",OFFSET(TH!E$1,SMALL(Dong2,ROWS($1:30)),))</f>
        <v>42688</v>
      </c>
      <c r="D41" s="699" t="str">
        <f ca="1">IF(ROWS($1:30)&gt;COUNT(Dong2),"",OFFSET(TH!F$1,SMALL(Dong2,ROWS($1:30)),))</f>
        <v>Phí chuyển tiền</v>
      </c>
      <c r="E41" s="698" t="str">
        <f ca="1">IF(ROWS($1:30)&gt;COUNT(Dong2),"",IF(OFFSET(TH!M$1,SMALL(Dong2,ROWS($1:30)),)=$I$6,OFFSET(TH!L$1,SMALL(Dong2,ROWS($1:30)),),OFFSET(TH!M$1,SMALL(Dong2,ROWS($1:30)),)))</f>
        <v>642</v>
      </c>
      <c r="F41" s="700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700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701">
        <f t="shared" ca="1" si="0"/>
        <v>1260366</v>
      </c>
      <c r="I41" s="702"/>
    </row>
    <row r="42" spans="1:12" s="681" customFormat="1" ht="18.75" customHeight="1">
      <c r="A42" s="698">
        <f ca="1">IF(ROWS($1:31)&gt;COUNT(Dong2),"",OFFSET(TH!C$1,SMALL(Dong2,ROWS($1:31)),))</f>
        <v>42688</v>
      </c>
      <c r="B42" s="698" t="str">
        <f ca="1">IF(ROWS($1:31)&gt;COUNT(Dong2),"",OFFSET(TH!D$1,SMALL(Dong2,ROWS($1:31)),))</f>
        <v>GBN</v>
      </c>
      <c r="C42" s="698">
        <f ca="1">IF(ROWS($1:31)&gt;COUNT(Dong2),"",OFFSET(TH!E$1,SMALL(Dong2,ROWS($1:31)),))</f>
        <v>42688</v>
      </c>
      <c r="D42" s="699" t="str">
        <f ca="1">IF(ROWS($1:31)&gt;COUNT(Dong2),"",OFFSET(TH!F$1,SMALL(Dong2,ROWS($1:31)),))</f>
        <v>VAT Phí chuyển tiền</v>
      </c>
      <c r="E42" s="698" t="str">
        <f ca="1">IF(ROWS($1:31)&gt;COUNT(Dong2),"",IF(OFFSET(TH!M$1,SMALL(Dong2,ROWS($1:31)),)=$I$6,OFFSET(TH!L$1,SMALL(Dong2,ROWS($1:31)),),OFFSET(TH!M$1,SMALL(Dong2,ROWS($1:31)),)))</f>
        <v>1331</v>
      </c>
      <c r="F42" s="700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700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701">
        <f t="shared" ca="1" si="0"/>
        <v>1259366</v>
      </c>
      <c r="I42" s="702"/>
    </row>
    <row r="43" spans="1:12" s="681" customFormat="1" ht="18.75" customHeight="1">
      <c r="A43" s="698">
        <f ca="1">IF(ROWS($1:32)&gt;COUNT(Dong2),"",OFFSET(TH!C$1,SMALL(Dong2,ROWS($1:32)),))</f>
        <v>42689</v>
      </c>
      <c r="B43" s="698" t="str">
        <f ca="1">IF(ROWS($1:32)&gt;COUNT(Dong2),"",OFFSET(TH!D$1,SMALL(Dong2,ROWS($1:32)),))</f>
        <v>GBC</v>
      </c>
      <c r="C43" s="698">
        <f ca="1">IF(ROWS($1:32)&gt;COUNT(Dong2),"",OFFSET(TH!E$1,SMALL(Dong2,ROWS($1:32)),))</f>
        <v>42689</v>
      </c>
      <c r="D43" s="699" t="str">
        <f ca="1">IF(ROWS($1:32)&gt;COUNT(Dong2),"",OFFSET(TH!F$1,SMALL(Dong2,ROWS($1:32)),))</f>
        <v>Thu tiền hàng</v>
      </c>
      <c r="E43" s="698" t="str">
        <f ca="1">IF(ROWS($1:32)&gt;COUNT(Dong2),"",IF(OFFSET(TH!M$1,SMALL(Dong2,ROWS($1:32)),)=$I$6,OFFSET(TH!L$1,SMALL(Dong2,ROWS($1:32)),),OFFSET(TH!M$1,SMALL(Dong2,ROWS($1:32)),)))</f>
        <v>131</v>
      </c>
      <c r="F43" s="700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700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1">
        <f t="shared" ca="1" si="0"/>
        <v>42751366</v>
      </c>
      <c r="I43" s="702"/>
    </row>
    <row r="44" spans="1:12" s="681" customFormat="1" ht="18.75" customHeight="1">
      <c r="A44" s="698">
        <f ca="1">IF(ROWS($1:33)&gt;COUNT(Dong2),"",OFFSET(TH!C$1,SMALL(Dong2,ROWS($1:33)),))</f>
        <v>42689</v>
      </c>
      <c r="B44" s="698" t="str">
        <f ca="1">IF(ROWS($1:33)&gt;COUNT(Dong2),"",OFFSET(TH!D$1,SMALL(Dong2,ROWS($1:33)),))</f>
        <v>T12</v>
      </c>
      <c r="C44" s="698">
        <f ca="1">IF(ROWS($1:33)&gt;COUNT(Dong2),"",OFFSET(TH!E$1,SMALL(Dong2,ROWS($1:33)),))</f>
        <v>42689</v>
      </c>
      <c r="D44" s="699" t="str">
        <f ca="1">IF(ROWS($1:33)&gt;COUNT(Dong2),"",OFFSET(TH!F$1,SMALL(Dong2,ROWS($1:33)),))</f>
        <v>Rút tiền mặt</v>
      </c>
      <c r="E44" s="698" t="str">
        <f ca="1">IF(ROWS($1:33)&gt;COUNT(Dong2),"",IF(OFFSET(TH!M$1,SMALL(Dong2,ROWS($1:33)),)=$I$6,OFFSET(TH!L$1,SMALL(Dong2,ROWS($1:33)),),OFFSET(TH!M$1,SMALL(Dong2,ROWS($1:33)),)))</f>
        <v>1111</v>
      </c>
      <c r="F44" s="700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700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701">
        <f t="shared" ca="1" si="0"/>
        <v>32751366</v>
      </c>
      <c r="I44" s="702"/>
    </row>
    <row r="45" spans="1:12" s="681" customFormat="1" ht="18.75" customHeight="1">
      <c r="A45" s="698">
        <f ca="1">IF(ROWS($1:34)&gt;COUNT(Dong2),"",OFFSET(TH!C$1,SMALL(Dong2,ROWS($1:34)),))</f>
        <v>42691</v>
      </c>
      <c r="B45" s="698" t="str">
        <f ca="1">IF(ROWS($1:34)&gt;COUNT(Dong2),"",OFFSET(TH!D$1,SMALL(Dong2,ROWS($1:34)),))</f>
        <v>GBC</v>
      </c>
      <c r="C45" s="698">
        <f ca="1">IF(ROWS($1:34)&gt;COUNT(Dong2),"",OFFSET(TH!E$1,SMALL(Dong2,ROWS($1:34)),))</f>
        <v>42691</v>
      </c>
      <c r="D45" s="699" t="str">
        <f ca="1">IF(ROWS($1:34)&gt;COUNT(Dong2),"",OFFSET(TH!F$1,SMALL(Dong2,ROWS($1:34)),))</f>
        <v>Thu tiền hàng</v>
      </c>
      <c r="E45" s="698" t="str">
        <f ca="1">IF(ROWS($1:34)&gt;COUNT(Dong2),"",IF(OFFSET(TH!M$1,SMALL(Dong2,ROWS($1:34)),)=$I$6,OFFSET(TH!L$1,SMALL(Dong2,ROWS($1:34)),),OFFSET(TH!M$1,SMALL(Dong2,ROWS($1:34)),)))</f>
        <v>131</v>
      </c>
      <c r="F45" s="700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700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01">
        <f t="shared" ca="1" si="0"/>
        <v>96507366</v>
      </c>
      <c r="I45" s="702"/>
    </row>
    <row r="46" spans="1:12" s="681" customFormat="1" ht="18.75" customHeight="1">
      <c r="A46" s="698">
        <f ca="1">IF(ROWS($1:35)&gt;COUNT(Dong2),"",OFFSET(TH!C$1,SMALL(Dong2,ROWS($1:35)),))</f>
        <v>42692</v>
      </c>
      <c r="B46" s="698" t="str">
        <f ca="1">IF(ROWS($1:35)&gt;COUNT(Dong2),"",OFFSET(TH!D$1,SMALL(Dong2,ROWS($1:35)),))</f>
        <v>GBN</v>
      </c>
      <c r="C46" s="698">
        <f ca="1">IF(ROWS($1:35)&gt;COUNT(Dong2),"",OFFSET(TH!E$1,SMALL(Dong2,ROWS($1:35)),))</f>
        <v>42692</v>
      </c>
      <c r="D46" s="699" t="str">
        <f ca="1">IF(ROWS($1:35)&gt;COUNT(Dong2),"",OFFSET(TH!F$1,SMALL(Dong2,ROWS($1:35)),))</f>
        <v>Thanh toán tiền thuê kho</v>
      </c>
      <c r="E46" s="698" t="str">
        <f ca="1">IF(ROWS($1:35)&gt;COUNT(Dong2),"",IF(OFFSET(TH!M$1,SMALL(Dong2,ROWS($1:35)),)=$I$6,OFFSET(TH!L$1,SMALL(Dong2,ROWS($1:35)),),OFFSET(TH!M$1,SMALL(Dong2,ROWS($1:35)),)))</f>
        <v>331</v>
      </c>
      <c r="F46" s="700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700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701">
        <f t="shared" ca="1" si="0"/>
        <v>55807366</v>
      </c>
      <c r="I46" s="702"/>
    </row>
    <row r="47" spans="1:12" s="681" customFormat="1" ht="18.75" customHeight="1">
      <c r="A47" s="698">
        <f ca="1">IF(ROWS($1:36)&gt;COUNT(Dong2),"",OFFSET(TH!C$1,SMALL(Dong2,ROWS($1:36)),))</f>
        <v>42692</v>
      </c>
      <c r="B47" s="698" t="str">
        <f ca="1">IF(ROWS($1:36)&gt;COUNT(Dong2),"",OFFSET(TH!D$1,SMALL(Dong2,ROWS($1:36)),))</f>
        <v>GBN</v>
      </c>
      <c r="C47" s="698">
        <f ca="1">IF(ROWS($1:36)&gt;COUNT(Dong2),"",OFFSET(TH!E$1,SMALL(Dong2,ROWS($1:36)),))</f>
        <v>42692</v>
      </c>
      <c r="D47" s="699" t="str">
        <f ca="1">IF(ROWS($1:36)&gt;COUNT(Dong2),"",OFFSET(TH!F$1,SMALL(Dong2,ROWS($1:36)),))</f>
        <v>Phí chuyển tiền</v>
      </c>
      <c r="E47" s="698" t="str">
        <f ca="1">IF(ROWS($1:36)&gt;COUNT(Dong2),"",IF(OFFSET(TH!M$1,SMALL(Dong2,ROWS($1:36)),)=$I$6,OFFSET(TH!L$1,SMALL(Dong2,ROWS($1:36)),),OFFSET(TH!M$1,SMALL(Dong2,ROWS($1:36)),)))</f>
        <v>642</v>
      </c>
      <c r="F47" s="700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700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701">
        <f t="shared" ca="1" si="0"/>
        <v>55787366</v>
      </c>
      <c r="I47" s="702"/>
    </row>
    <row r="48" spans="1:12" s="681" customFormat="1" ht="18.75" customHeight="1">
      <c r="A48" s="698">
        <f ca="1">IF(ROWS($1:37)&gt;COUNT(Dong2),"",OFFSET(TH!C$1,SMALL(Dong2,ROWS($1:37)),))</f>
        <v>42692</v>
      </c>
      <c r="B48" s="698" t="str">
        <f ca="1">IF(ROWS($1:37)&gt;COUNT(Dong2),"",OFFSET(TH!D$1,SMALL(Dong2,ROWS($1:37)),))</f>
        <v>GBN</v>
      </c>
      <c r="C48" s="698">
        <f ca="1">IF(ROWS($1:37)&gt;COUNT(Dong2),"",OFFSET(TH!E$1,SMALL(Dong2,ROWS($1:37)),))</f>
        <v>42692</v>
      </c>
      <c r="D48" s="699" t="str">
        <f ca="1">IF(ROWS($1:37)&gt;COUNT(Dong2),"",OFFSET(TH!F$1,SMALL(Dong2,ROWS($1:37)),))</f>
        <v>VAT Phí chuyển tiền</v>
      </c>
      <c r="E48" s="698" t="str">
        <f ca="1">IF(ROWS($1:37)&gt;COUNT(Dong2),"",IF(OFFSET(TH!M$1,SMALL(Dong2,ROWS($1:37)),)=$I$6,OFFSET(TH!L$1,SMALL(Dong2,ROWS($1:37)),),OFFSET(TH!M$1,SMALL(Dong2,ROWS($1:37)),)))</f>
        <v>1331</v>
      </c>
      <c r="F48" s="700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700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701">
        <f t="shared" ca="1" si="0"/>
        <v>55785366</v>
      </c>
      <c r="I48" s="702"/>
    </row>
    <row r="49" spans="1:9" s="681" customFormat="1" ht="18.75" customHeight="1">
      <c r="A49" s="698">
        <f ca="1">IF(ROWS($1:38)&gt;COUNT(Dong2),"",OFFSET(TH!C$1,SMALL(Dong2,ROWS($1:38)),))</f>
        <v>42692</v>
      </c>
      <c r="B49" s="698" t="str">
        <f ca="1">IF(ROWS($1:38)&gt;COUNT(Dong2),"",OFFSET(TH!D$1,SMALL(Dong2,ROWS($1:38)),))</f>
        <v>T13</v>
      </c>
      <c r="C49" s="698">
        <f ca="1">IF(ROWS($1:38)&gt;COUNT(Dong2),"",OFFSET(TH!E$1,SMALL(Dong2,ROWS($1:38)),))</f>
        <v>42692</v>
      </c>
      <c r="D49" s="699" t="str">
        <f ca="1">IF(ROWS($1:38)&gt;COUNT(Dong2),"",OFFSET(TH!F$1,SMALL(Dong2,ROWS($1:38)),))</f>
        <v>Rút tiền mặt</v>
      </c>
      <c r="E49" s="698" t="str">
        <f ca="1">IF(ROWS($1:38)&gt;COUNT(Dong2),"",IF(OFFSET(TH!M$1,SMALL(Dong2,ROWS($1:38)),)=$I$6,OFFSET(TH!L$1,SMALL(Dong2,ROWS($1:38)),),OFFSET(TH!M$1,SMALL(Dong2,ROWS($1:38)),)))</f>
        <v>1111</v>
      </c>
      <c r="F49" s="700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700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701">
        <f t="shared" ca="1" si="0"/>
        <v>1485366</v>
      </c>
      <c r="I49" s="702"/>
    </row>
    <row r="50" spans="1:9" s="681" customFormat="1" ht="18.75" customHeight="1">
      <c r="A50" s="698">
        <f ca="1">IF(ROWS($1:39)&gt;COUNT(Dong2),"",OFFSET(TH!C$1,SMALL(Dong2,ROWS($1:39)),))</f>
        <v>42697</v>
      </c>
      <c r="B50" s="698" t="str">
        <f ca="1">IF(ROWS($1:39)&gt;COUNT(Dong2),"",OFFSET(TH!D$1,SMALL(Dong2,ROWS($1:39)),))</f>
        <v>GBC</v>
      </c>
      <c r="C50" s="698">
        <f ca="1">IF(ROWS($1:39)&gt;COUNT(Dong2),"",OFFSET(TH!E$1,SMALL(Dong2,ROWS($1:39)),))</f>
        <v>42697</v>
      </c>
      <c r="D50" s="699" t="str">
        <f ca="1">IF(ROWS($1:39)&gt;COUNT(Dong2),"",OFFSET(TH!F$1,SMALL(Dong2,ROWS($1:39)),))</f>
        <v>Thu tiền hàng</v>
      </c>
      <c r="E50" s="698" t="str">
        <f ca="1">IF(ROWS($1:39)&gt;COUNT(Dong2),"",IF(OFFSET(TH!M$1,SMALL(Dong2,ROWS($1:39)),)=$I$6,OFFSET(TH!L$1,SMALL(Dong2,ROWS($1:39)),),OFFSET(TH!M$1,SMALL(Dong2,ROWS($1:39)),)))</f>
        <v>131</v>
      </c>
      <c r="F50" s="700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700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01">
        <f t="shared" ca="1" si="0"/>
        <v>15362966</v>
      </c>
      <c r="I50" s="702"/>
    </row>
    <row r="51" spans="1:9" s="681" customFormat="1" ht="18.75" customHeight="1">
      <c r="A51" s="698">
        <f ca="1">IF(ROWS($1:40)&gt;COUNT(Dong2),"",OFFSET(TH!C$1,SMALL(Dong2,ROWS($1:40)),))</f>
        <v>42698</v>
      </c>
      <c r="B51" s="698" t="str">
        <f ca="1">IF(ROWS($1:40)&gt;COUNT(Dong2),"",OFFSET(TH!D$1,SMALL(Dong2,ROWS($1:40)),))</f>
        <v>GBC</v>
      </c>
      <c r="C51" s="698">
        <f ca="1">IF(ROWS($1:40)&gt;COUNT(Dong2),"",OFFSET(TH!E$1,SMALL(Dong2,ROWS($1:40)),))</f>
        <v>42698</v>
      </c>
      <c r="D51" s="699" t="str">
        <f ca="1">IF(ROWS($1:40)&gt;COUNT(Dong2),"",OFFSET(TH!F$1,SMALL(Dong2,ROWS($1:40)),))</f>
        <v>Thu tiền hàng</v>
      </c>
      <c r="E51" s="698" t="str">
        <f ca="1">IF(ROWS($1:40)&gt;COUNT(Dong2),"",IF(OFFSET(TH!M$1,SMALL(Dong2,ROWS($1:40)),)=$I$6,OFFSET(TH!L$1,SMALL(Dong2,ROWS($1:40)),),OFFSET(TH!M$1,SMALL(Dong2,ROWS($1:40)),)))</f>
        <v>131</v>
      </c>
      <c r="F51" s="700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700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01">
        <f t="shared" ca="1" si="0"/>
        <v>33748366</v>
      </c>
      <c r="I51" s="702"/>
    </row>
    <row r="52" spans="1:9" s="681" customFormat="1" ht="18.75" customHeight="1">
      <c r="A52" s="698">
        <f ca="1">IF(ROWS($1:41)&gt;COUNT(Dong2),"",OFFSET(TH!C$1,SMALL(Dong2,ROWS($1:41)),))</f>
        <v>42699</v>
      </c>
      <c r="B52" s="698" t="str">
        <f ca="1">IF(ROWS($1:41)&gt;COUNT(Dong2),"",OFFSET(TH!D$1,SMALL(Dong2,ROWS($1:41)),))</f>
        <v>GBC</v>
      </c>
      <c r="C52" s="698">
        <f ca="1">IF(ROWS($1:41)&gt;COUNT(Dong2),"",OFFSET(TH!E$1,SMALL(Dong2,ROWS($1:41)),))</f>
        <v>42699</v>
      </c>
      <c r="D52" s="699" t="str">
        <f ca="1">IF(ROWS($1:41)&gt;COUNT(Dong2),"",OFFSET(TH!F$1,SMALL(Dong2,ROWS($1:41)),))</f>
        <v>Lãi tiền gửi</v>
      </c>
      <c r="E52" s="698" t="str">
        <f ca="1">IF(ROWS($1:41)&gt;COUNT(Dong2),"",IF(OFFSET(TH!M$1,SMALL(Dong2,ROWS($1:41)),)=$I$6,OFFSET(TH!L$1,SMALL(Dong2,ROWS($1:41)),),OFFSET(TH!M$1,SMALL(Dong2,ROWS($1:41)),)))</f>
        <v>515</v>
      </c>
      <c r="F52" s="700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700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01">
        <f t="shared" ca="1" si="0"/>
        <v>33753371</v>
      </c>
      <c r="I52" s="702"/>
    </row>
    <row r="53" spans="1:9" s="681" customFormat="1" ht="18.75" customHeight="1">
      <c r="A53" s="698">
        <f ca="1">IF(ROWS($1:42)&gt;COUNT(Dong2),"",OFFSET(TH!C$1,SMALL(Dong2,ROWS($1:42)),))</f>
        <v>42699</v>
      </c>
      <c r="B53" s="698" t="str">
        <f ca="1">IF(ROWS($1:42)&gt;COUNT(Dong2),"",OFFSET(TH!D$1,SMALL(Dong2,ROWS($1:42)),))</f>
        <v>T18</v>
      </c>
      <c r="C53" s="698">
        <f ca="1">IF(ROWS($1:42)&gt;COUNT(Dong2),"",OFFSET(TH!E$1,SMALL(Dong2,ROWS($1:42)),))</f>
        <v>42699</v>
      </c>
      <c r="D53" s="699" t="str">
        <f ca="1">IF(ROWS($1:42)&gt;COUNT(Dong2),"",OFFSET(TH!F$1,SMALL(Dong2,ROWS($1:42)),))</f>
        <v>Rút tiền mặt</v>
      </c>
      <c r="E53" s="698" t="str">
        <f ca="1">IF(ROWS($1:42)&gt;COUNT(Dong2),"",IF(OFFSET(TH!M$1,SMALL(Dong2,ROWS($1:42)),)=$I$6,OFFSET(TH!L$1,SMALL(Dong2,ROWS($1:42)),),OFFSET(TH!M$1,SMALL(Dong2,ROWS($1:42)),)))</f>
        <v>1111</v>
      </c>
      <c r="F53" s="700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700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701">
        <f t="shared" ca="1" si="0"/>
        <v>13753371</v>
      </c>
      <c r="I53" s="702"/>
    </row>
    <row r="54" spans="1:9" s="681" customFormat="1" ht="18.75" customHeight="1">
      <c r="A54" s="698">
        <f ca="1">IF(ROWS($1:43)&gt;COUNT(Dong2),"",OFFSET(TH!C$1,SMALL(Dong2,ROWS($1:43)),))</f>
        <v>42699</v>
      </c>
      <c r="B54" s="698" t="str">
        <f ca="1">IF(ROWS($1:43)&gt;COUNT(Dong2),"",OFFSET(TH!D$1,SMALL(Dong2,ROWS($1:43)),))</f>
        <v>GBN</v>
      </c>
      <c r="C54" s="698">
        <f ca="1">IF(ROWS($1:43)&gt;COUNT(Dong2),"",OFFSET(TH!E$1,SMALL(Dong2,ROWS($1:43)),))</f>
        <v>42699</v>
      </c>
      <c r="D54" s="699" t="str">
        <f ca="1">IF(ROWS($1:43)&gt;COUNT(Dong2),"",OFFSET(TH!F$1,SMALL(Dong2,ROWS($1:43)),))</f>
        <v>Thanh toán tiền hàng</v>
      </c>
      <c r="E54" s="698" t="str">
        <f ca="1">IF(ROWS($1:43)&gt;COUNT(Dong2),"",IF(OFFSET(TH!M$1,SMALL(Dong2,ROWS($1:43)),)=$I$6,OFFSET(TH!L$1,SMALL(Dong2,ROWS($1:43)),),OFFSET(TH!M$1,SMALL(Dong2,ROWS($1:43)),)))</f>
        <v>331</v>
      </c>
      <c r="F54" s="700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700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701">
        <f t="shared" ca="1" si="0"/>
        <v>1253371</v>
      </c>
      <c r="I54" s="702"/>
    </row>
    <row r="55" spans="1:9" s="681" customFormat="1" ht="18.75" customHeight="1">
      <c r="A55" s="698">
        <f ca="1">IF(ROWS($1:44)&gt;COUNT(Dong2),"",OFFSET(TH!C$1,SMALL(Dong2,ROWS($1:44)),))</f>
        <v>42699</v>
      </c>
      <c r="B55" s="698" t="str">
        <f ca="1">IF(ROWS($1:44)&gt;COUNT(Dong2),"",OFFSET(TH!D$1,SMALL(Dong2,ROWS($1:44)),))</f>
        <v>GBN</v>
      </c>
      <c r="C55" s="698">
        <f ca="1">IF(ROWS($1:44)&gt;COUNT(Dong2),"",OFFSET(TH!E$1,SMALL(Dong2,ROWS($1:44)),))</f>
        <v>42699</v>
      </c>
      <c r="D55" s="699" t="str">
        <f ca="1">IF(ROWS($1:44)&gt;COUNT(Dong2),"",OFFSET(TH!F$1,SMALL(Dong2,ROWS($1:44)),))</f>
        <v>Phí bán 2 cuốn sec</v>
      </c>
      <c r="E55" s="698" t="str">
        <f ca="1">IF(ROWS($1:44)&gt;COUNT(Dong2),"",IF(OFFSET(TH!M$1,SMALL(Dong2,ROWS($1:44)),)=$I$6,OFFSET(TH!L$1,SMALL(Dong2,ROWS($1:44)),),OFFSET(TH!M$1,SMALL(Dong2,ROWS($1:44)),)))</f>
        <v>642</v>
      </c>
      <c r="F55" s="700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700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701">
        <f t="shared" ca="1" si="0"/>
        <v>1233371</v>
      </c>
      <c r="I55" s="702"/>
    </row>
    <row r="56" spans="1:9" s="681" customFormat="1" ht="18.75" customHeight="1">
      <c r="A56" s="698">
        <f ca="1">IF(ROWS($1:45)&gt;COUNT(Dong2),"",OFFSET(TH!C$1,SMALL(Dong2,ROWS($1:45)),))</f>
        <v>42699</v>
      </c>
      <c r="B56" s="698" t="str">
        <f ca="1">IF(ROWS($1:45)&gt;COUNT(Dong2),"",OFFSET(TH!D$1,SMALL(Dong2,ROWS($1:45)),))</f>
        <v>GBN</v>
      </c>
      <c r="C56" s="698">
        <f ca="1">IF(ROWS($1:45)&gt;COUNT(Dong2),"",OFFSET(TH!E$1,SMALL(Dong2,ROWS($1:45)),))</f>
        <v>42699</v>
      </c>
      <c r="D56" s="699" t="str">
        <f ca="1">IF(ROWS($1:45)&gt;COUNT(Dong2),"",OFFSET(TH!F$1,SMALL(Dong2,ROWS($1:45)),))</f>
        <v>VAT Phí bán 2 cuốn sec</v>
      </c>
      <c r="E56" s="698" t="str">
        <f ca="1">IF(ROWS($1:45)&gt;COUNT(Dong2),"",IF(OFFSET(TH!M$1,SMALL(Dong2,ROWS($1:45)),)=$I$6,OFFSET(TH!L$1,SMALL(Dong2,ROWS($1:45)),),OFFSET(TH!M$1,SMALL(Dong2,ROWS($1:45)),)))</f>
        <v>1331</v>
      </c>
      <c r="F56" s="700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700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701">
        <f t="shared" ca="1" si="0"/>
        <v>1231371</v>
      </c>
      <c r="I56" s="702"/>
    </row>
    <row r="57" spans="1:9" s="681" customFormat="1" ht="18.75" customHeight="1">
      <c r="A57" s="698">
        <f ca="1">IF(ROWS($1:46)&gt;COUNT(Dong2),"",OFFSET(TH!C$1,SMALL(Dong2,ROWS($1:46)),))</f>
        <v>42699</v>
      </c>
      <c r="B57" s="698" t="str">
        <f ca="1">IF(ROWS($1:46)&gt;COUNT(Dong2),"",OFFSET(TH!D$1,SMALL(Dong2,ROWS($1:46)),))</f>
        <v>GBN</v>
      </c>
      <c r="C57" s="698">
        <f ca="1">IF(ROWS($1:46)&gt;COUNT(Dong2),"",OFFSET(TH!E$1,SMALL(Dong2,ROWS($1:46)),))</f>
        <v>42699</v>
      </c>
      <c r="D57" s="699" t="str">
        <f ca="1">IF(ROWS($1:46)&gt;COUNT(Dong2),"",OFFSET(TH!F$1,SMALL(Dong2,ROWS($1:46)),))</f>
        <v>Phí quản lý tài khoản</v>
      </c>
      <c r="E57" s="698" t="str">
        <f ca="1">IF(ROWS($1:46)&gt;COUNT(Dong2),"",IF(OFFSET(TH!M$1,SMALL(Dong2,ROWS($1:46)),)=$I$6,OFFSET(TH!L$1,SMALL(Dong2,ROWS($1:46)),),OFFSET(TH!M$1,SMALL(Dong2,ROWS($1:46)),)))</f>
        <v>642</v>
      </c>
      <c r="F57" s="700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700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701">
        <f t="shared" ca="1" si="0"/>
        <v>1221371</v>
      </c>
      <c r="I57" s="702"/>
    </row>
    <row r="58" spans="1:9" s="681" customFormat="1" ht="18.75" customHeight="1">
      <c r="A58" s="698">
        <f ca="1">IF(ROWS($1:47)&gt;COUNT(Dong2),"",OFFSET(TH!C$1,SMALL(Dong2,ROWS($1:47)),))</f>
        <v>42699</v>
      </c>
      <c r="B58" s="698" t="str">
        <f ca="1">IF(ROWS($1:47)&gt;COUNT(Dong2),"",OFFSET(TH!D$1,SMALL(Dong2,ROWS($1:47)),))</f>
        <v>GBN</v>
      </c>
      <c r="C58" s="698">
        <f ca="1">IF(ROWS($1:47)&gt;COUNT(Dong2),"",OFFSET(TH!E$1,SMALL(Dong2,ROWS($1:47)),))</f>
        <v>42699</v>
      </c>
      <c r="D58" s="699" t="str">
        <f ca="1">IF(ROWS($1:47)&gt;COUNT(Dong2),"",OFFSET(TH!F$1,SMALL(Dong2,ROWS($1:47)),))</f>
        <v>VAT Phí quản lý tài khoản</v>
      </c>
      <c r="E58" s="698" t="str">
        <f ca="1">IF(ROWS($1:47)&gt;COUNT(Dong2),"",IF(OFFSET(TH!M$1,SMALL(Dong2,ROWS($1:47)),)=$I$6,OFFSET(TH!L$1,SMALL(Dong2,ROWS($1:47)),),OFFSET(TH!M$1,SMALL(Dong2,ROWS($1:47)),)))</f>
        <v>1331</v>
      </c>
      <c r="F58" s="700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700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701">
        <f t="shared" ca="1" si="0"/>
        <v>1220371</v>
      </c>
      <c r="I58" s="702"/>
    </row>
    <row r="59" spans="1:9" s="681" customFormat="1" ht="18.75" customHeight="1">
      <c r="A59" s="698">
        <f ca="1">IF(ROWS($1:48)&gt;COUNT(Dong2),"",OFFSET(TH!C$1,SMALL(Dong2,ROWS($1:48)),))</f>
        <v>42702</v>
      </c>
      <c r="B59" s="698" t="str">
        <f ca="1">IF(ROWS($1:48)&gt;COUNT(Dong2),"",OFFSET(TH!D$1,SMALL(Dong2,ROWS($1:48)),))</f>
        <v>GBC</v>
      </c>
      <c r="C59" s="698">
        <f ca="1">IF(ROWS($1:48)&gt;COUNT(Dong2),"",OFFSET(TH!E$1,SMALL(Dong2,ROWS($1:48)),))</f>
        <v>42702</v>
      </c>
      <c r="D59" s="699" t="str">
        <f ca="1">IF(ROWS($1:48)&gt;COUNT(Dong2),"",OFFSET(TH!F$1,SMALL(Dong2,ROWS($1:48)),))</f>
        <v>Thu tiền hàng</v>
      </c>
      <c r="E59" s="698" t="str">
        <f ca="1">IF(ROWS($1:48)&gt;COUNT(Dong2),"",IF(OFFSET(TH!M$1,SMALL(Dong2,ROWS($1:48)),)=$I$6,OFFSET(TH!L$1,SMALL(Dong2,ROWS($1:48)),),OFFSET(TH!M$1,SMALL(Dong2,ROWS($1:48)),)))</f>
        <v>131</v>
      </c>
      <c r="F59" s="700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700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01">
        <f t="shared" ca="1" si="0"/>
        <v>23692161</v>
      </c>
      <c r="I59" s="702"/>
    </row>
    <row r="60" spans="1:9" s="681" customFormat="1" ht="18.75" customHeight="1">
      <c r="A60" s="698">
        <f ca="1">IF(ROWS($1:49)&gt;COUNT(Dong2),"",OFFSET(TH!C$1,SMALL(Dong2,ROWS($1:49)),))</f>
        <v>42703</v>
      </c>
      <c r="B60" s="698" t="str">
        <f ca="1">IF(ROWS($1:49)&gt;COUNT(Dong2),"",OFFSET(TH!D$1,SMALL(Dong2,ROWS($1:49)),))</f>
        <v>T19</v>
      </c>
      <c r="C60" s="698">
        <f ca="1">IF(ROWS($1:49)&gt;COUNT(Dong2),"",OFFSET(TH!E$1,SMALL(Dong2,ROWS($1:49)),))</f>
        <v>42703</v>
      </c>
      <c r="D60" s="699" t="str">
        <f ca="1">IF(ROWS($1:49)&gt;COUNT(Dong2),"",OFFSET(TH!F$1,SMALL(Dong2,ROWS($1:49)),))</f>
        <v>Rút tiền mặt</v>
      </c>
      <c r="E60" s="698" t="str">
        <f ca="1">IF(ROWS($1:49)&gt;COUNT(Dong2),"",IF(OFFSET(TH!M$1,SMALL(Dong2,ROWS($1:49)),)=$I$6,OFFSET(TH!L$1,SMALL(Dong2,ROWS($1:49)),),OFFSET(TH!M$1,SMALL(Dong2,ROWS($1:49)),)))</f>
        <v>1111</v>
      </c>
      <c r="F60" s="700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700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701">
        <f t="shared" ca="1" si="0"/>
        <v>1192161</v>
      </c>
      <c r="I60" s="702"/>
    </row>
    <row r="61" spans="1:9" s="681" customFormat="1" ht="18.75" customHeight="1">
      <c r="A61" s="698">
        <f ca="1">IF(ROWS($1:50)&gt;COUNT(Dong2),"",OFFSET(TH!C$1,SMALL(Dong2,ROWS($1:50)),))</f>
        <v>42713</v>
      </c>
      <c r="B61" s="698" t="str">
        <f ca="1">IF(ROWS($1:50)&gt;COUNT(Dong2),"",OFFSET(TH!D$1,SMALL(Dong2,ROWS($1:50)),))</f>
        <v>GBC</v>
      </c>
      <c r="C61" s="698">
        <f ca="1">IF(ROWS($1:50)&gt;COUNT(Dong2),"",OFFSET(TH!E$1,SMALL(Dong2,ROWS($1:50)),))</f>
        <v>42713</v>
      </c>
      <c r="D61" s="699" t="str">
        <f ca="1">IF(ROWS($1:50)&gt;COUNT(Dong2),"",OFFSET(TH!F$1,SMALL(Dong2,ROWS($1:50)),))</f>
        <v>Thu tiền hàng</v>
      </c>
      <c r="E61" s="698" t="str">
        <f ca="1">IF(ROWS($1:50)&gt;COUNT(Dong2),"",IF(OFFSET(TH!M$1,SMALL(Dong2,ROWS($1:50)),)=$I$6,OFFSET(TH!L$1,SMALL(Dong2,ROWS($1:50)),),OFFSET(TH!M$1,SMALL(Dong2,ROWS($1:50)),)))</f>
        <v>131</v>
      </c>
      <c r="F61" s="700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700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701">
        <f t="shared" ca="1" si="0"/>
        <v>16768161</v>
      </c>
      <c r="I61" s="702"/>
    </row>
    <row r="62" spans="1:9" s="681" customFormat="1" ht="18.75" customHeight="1">
      <c r="A62" s="698">
        <f ca="1">IF(ROWS($1:51)&gt;COUNT(Dong2),"",OFFSET(TH!C$1,SMALL(Dong2,ROWS($1:51)),))</f>
        <v>42716</v>
      </c>
      <c r="B62" s="698" t="str">
        <f ca="1">IF(ROWS($1:51)&gt;COUNT(Dong2),"",OFFSET(TH!D$1,SMALL(Dong2,ROWS($1:51)),))</f>
        <v>C25</v>
      </c>
      <c r="C62" s="698">
        <f ca="1">IF(ROWS($1:51)&gt;COUNT(Dong2),"",OFFSET(TH!E$1,SMALL(Dong2,ROWS($1:51)),))</f>
        <v>42716</v>
      </c>
      <c r="D62" s="699" t="str">
        <f ca="1">IF(ROWS($1:51)&gt;COUNT(Dong2),"",OFFSET(TH!F$1,SMALL(Dong2,ROWS($1:51)),))</f>
        <v>Nộp tiền mặt</v>
      </c>
      <c r="E62" s="698" t="str">
        <f ca="1">IF(ROWS($1:51)&gt;COUNT(Dong2),"",IF(OFFSET(TH!M$1,SMALL(Dong2,ROWS($1:51)),)=$I$6,OFFSET(TH!L$1,SMALL(Dong2,ROWS($1:51)),),OFFSET(TH!M$1,SMALL(Dong2,ROWS($1:51)),)))</f>
        <v>1111</v>
      </c>
      <c r="F62" s="700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700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701">
        <f t="shared" ca="1" si="0"/>
        <v>21268161</v>
      </c>
      <c r="I62" s="702"/>
    </row>
    <row r="63" spans="1:9" s="681" customFormat="1" ht="18.75" customHeight="1">
      <c r="A63" s="698">
        <f ca="1">IF(ROWS($1:52)&gt;COUNT(Dong2),"",OFFSET(TH!C$1,SMALL(Dong2,ROWS($1:52)),))</f>
        <v>42716</v>
      </c>
      <c r="B63" s="698" t="str">
        <f ca="1">IF(ROWS($1:52)&gt;COUNT(Dong2),"",OFFSET(TH!D$1,SMALL(Dong2,ROWS($1:52)),))</f>
        <v>GBN</v>
      </c>
      <c r="C63" s="698">
        <f ca="1">IF(ROWS($1:52)&gt;COUNT(Dong2),"",OFFSET(TH!E$1,SMALL(Dong2,ROWS($1:52)),))</f>
        <v>42716</v>
      </c>
      <c r="D63" s="699" t="str">
        <f ca="1">IF(ROWS($1:52)&gt;COUNT(Dong2),"",OFFSET(TH!F$1,SMALL(Dong2,ROWS($1:52)),))</f>
        <v>Thanh toán tiền hàng</v>
      </c>
      <c r="E63" s="698" t="str">
        <f ca="1">IF(ROWS($1:52)&gt;COUNT(Dong2),"",IF(OFFSET(TH!M$1,SMALL(Dong2,ROWS($1:52)),)=$I$6,OFFSET(TH!L$1,SMALL(Dong2,ROWS($1:52)),),OFFSET(TH!M$1,SMALL(Dong2,ROWS($1:52)),)))</f>
        <v>331</v>
      </c>
      <c r="F63" s="700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00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701">
        <f t="shared" ca="1" si="0"/>
        <v>1268161</v>
      </c>
      <c r="I63" s="702"/>
    </row>
    <row r="64" spans="1:9" s="681" customFormat="1" ht="18.75" customHeight="1">
      <c r="A64" s="698">
        <f ca="1">IF(ROWS($1:53)&gt;COUNT(Dong2),"",OFFSET(TH!C$1,SMALL(Dong2,ROWS($1:53)),))</f>
        <v>42716</v>
      </c>
      <c r="B64" s="698" t="str">
        <f ca="1">IF(ROWS($1:53)&gt;COUNT(Dong2),"",OFFSET(TH!D$1,SMALL(Dong2,ROWS($1:53)),))</f>
        <v>GBN</v>
      </c>
      <c r="C64" s="698">
        <f ca="1">IF(ROWS($1:53)&gt;COUNT(Dong2),"",OFFSET(TH!E$1,SMALL(Dong2,ROWS($1:53)),))</f>
        <v>42716</v>
      </c>
      <c r="D64" s="699" t="str">
        <f ca="1">IF(ROWS($1:53)&gt;COUNT(Dong2),"",OFFSET(TH!F$1,SMALL(Dong2,ROWS($1:53)),))</f>
        <v>Phí kiểm đếm</v>
      </c>
      <c r="E64" s="698" t="str">
        <f ca="1">IF(ROWS($1:53)&gt;COUNT(Dong2),"",IF(OFFSET(TH!M$1,SMALL(Dong2,ROWS($1:53)),)=$I$6,OFFSET(TH!L$1,SMALL(Dong2,ROWS($1:53)),),OFFSET(TH!M$1,SMALL(Dong2,ROWS($1:53)),)))</f>
        <v>642</v>
      </c>
      <c r="F64" s="700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00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701">
        <f t="shared" ca="1" si="0"/>
        <v>1248161</v>
      </c>
      <c r="I64" s="702"/>
    </row>
    <row r="65" spans="1:9" s="681" customFormat="1" ht="18.75" customHeight="1">
      <c r="A65" s="698">
        <f ca="1">IF(ROWS($1:54)&gt;COUNT(Dong2),"",OFFSET(TH!C$1,SMALL(Dong2,ROWS($1:54)),))</f>
        <v>42716</v>
      </c>
      <c r="B65" s="698" t="str">
        <f ca="1">IF(ROWS($1:54)&gt;COUNT(Dong2),"",OFFSET(TH!D$1,SMALL(Dong2,ROWS($1:54)),))</f>
        <v>GBN</v>
      </c>
      <c r="C65" s="698">
        <f ca="1">IF(ROWS($1:54)&gt;COUNT(Dong2),"",OFFSET(TH!E$1,SMALL(Dong2,ROWS($1:54)),))</f>
        <v>42716</v>
      </c>
      <c r="D65" s="699" t="str">
        <f ca="1">IF(ROWS($1:54)&gt;COUNT(Dong2),"",OFFSET(TH!F$1,SMALL(Dong2,ROWS($1:54)),))</f>
        <v>VAT Phí kiểm đếm</v>
      </c>
      <c r="E65" s="698" t="str">
        <f ca="1">IF(ROWS($1:54)&gt;COUNT(Dong2),"",IF(OFFSET(TH!M$1,SMALL(Dong2,ROWS($1:54)),)=$I$6,OFFSET(TH!L$1,SMALL(Dong2,ROWS($1:54)),),OFFSET(TH!M$1,SMALL(Dong2,ROWS($1:54)),)))</f>
        <v>1331</v>
      </c>
      <c r="F65" s="700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00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701">
        <f t="shared" ca="1" si="0"/>
        <v>1246161</v>
      </c>
      <c r="I65" s="702"/>
    </row>
    <row r="66" spans="1:9" s="681" customFormat="1" ht="18.75" customHeight="1">
      <c r="A66" s="698">
        <f ca="1">IF(ROWS($1:55)&gt;COUNT(Dong2),"",OFFSET(TH!C$1,SMALL(Dong2,ROWS($1:55)),))</f>
        <v>42717</v>
      </c>
      <c r="B66" s="698" t="str">
        <f ca="1">IF(ROWS($1:55)&gt;COUNT(Dong2),"",OFFSET(TH!D$1,SMALL(Dong2,ROWS($1:55)),))</f>
        <v>C26</v>
      </c>
      <c r="C66" s="698">
        <f ca="1">IF(ROWS($1:55)&gt;COUNT(Dong2),"",OFFSET(TH!E$1,SMALL(Dong2,ROWS($1:55)),))</f>
        <v>42717</v>
      </c>
      <c r="D66" s="699" t="str">
        <f ca="1">IF(ROWS($1:55)&gt;COUNT(Dong2),"",OFFSET(TH!F$1,SMALL(Dong2,ROWS($1:55)),))</f>
        <v>Nộp tiền mặt</v>
      </c>
      <c r="E66" s="698" t="str">
        <f ca="1">IF(ROWS($1:55)&gt;COUNT(Dong2),"",IF(OFFSET(TH!M$1,SMALL(Dong2,ROWS($1:55)),)=$I$6,OFFSET(TH!L$1,SMALL(Dong2,ROWS($1:55)),),OFFSET(TH!M$1,SMALL(Dong2,ROWS($1:55)),)))</f>
        <v>1111</v>
      </c>
      <c r="F66" s="700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700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01">
        <f t="shared" ca="1" si="0"/>
        <v>14546161</v>
      </c>
      <c r="I66" s="702"/>
    </row>
    <row r="67" spans="1:9" s="681" customFormat="1" ht="18.75" customHeight="1">
      <c r="A67" s="698">
        <f ca="1">IF(ROWS($1:56)&gt;COUNT(Dong2),"",OFFSET(TH!C$1,SMALL(Dong2,ROWS($1:56)),))</f>
        <v>42717</v>
      </c>
      <c r="B67" s="698" t="str">
        <f ca="1">IF(ROWS($1:56)&gt;COUNT(Dong2),"",OFFSET(TH!D$1,SMALL(Dong2,ROWS($1:56)),))</f>
        <v>GBC</v>
      </c>
      <c r="C67" s="698">
        <f ca="1">IF(ROWS($1:56)&gt;COUNT(Dong2),"",OFFSET(TH!E$1,SMALL(Dong2,ROWS($1:56)),))</f>
        <v>42717</v>
      </c>
      <c r="D67" s="699" t="str">
        <f ca="1">IF(ROWS($1:56)&gt;COUNT(Dong2),"",OFFSET(TH!F$1,SMALL(Dong2,ROWS($1:56)),))</f>
        <v>Thu tiền hàng</v>
      </c>
      <c r="E67" s="698" t="str">
        <f ca="1">IF(ROWS($1:56)&gt;COUNT(Dong2),"",IF(OFFSET(TH!M$1,SMALL(Dong2,ROWS($1:56)),)=$I$6,OFFSET(TH!L$1,SMALL(Dong2,ROWS($1:56)),),OFFSET(TH!M$1,SMALL(Dong2,ROWS($1:56)),)))</f>
        <v>131</v>
      </c>
      <c r="F67" s="700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700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701">
        <f t="shared" ca="1" si="0"/>
        <v>41870161</v>
      </c>
      <c r="I67" s="702"/>
    </row>
    <row r="68" spans="1:9" s="681" customFormat="1" ht="18.75" customHeight="1">
      <c r="A68" s="698">
        <f ca="1">IF(ROWS($1:57)&gt;COUNT(Dong2),"",OFFSET(TH!C$1,SMALL(Dong2,ROWS($1:57)),))</f>
        <v>42718</v>
      </c>
      <c r="B68" s="698" t="str">
        <f ca="1">IF(ROWS($1:57)&gt;COUNT(Dong2),"",OFFSET(TH!D$1,SMALL(Dong2,ROWS($1:57)),))</f>
        <v>GBN</v>
      </c>
      <c r="C68" s="698">
        <f ca="1">IF(ROWS($1:57)&gt;COUNT(Dong2),"",OFFSET(TH!E$1,SMALL(Dong2,ROWS($1:57)),))</f>
        <v>42718</v>
      </c>
      <c r="D68" s="699" t="str">
        <f ca="1">IF(ROWS($1:57)&gt;COUNT(Dong2),"",OFFSET(TH!F$1,SMALL(Dong2,ROWS($1:57)),))</f>
        <v>Phí chuyển tiền</v>
      </c>
      <c r="E68" s="698" t="str">
        <f ca="1">IF(ROWS($1:57)&gt;COUNT(Dong2),"",IF(OFFSET(TH!M$1,SMALL(Dong2,ROWS($1:57)),)=$I$6,OFFSET(TH!L$1,SMALL(Dong2,ROWS($1:57)),),OFFSET(TH!M$1,SMALL(Dong2,ROWS($1:57)),)))</f>
        <v>642</v>
      </c>
      <c r="F68" s="700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00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701">
        <f t="shared" ca="1" si="0"/>
        <v>41850161</v>
      </c>
      <c r="I68" s="702"/>
    </row>
    <row r="69" spans="1:9" s="681" customFormat="1" ht="18.75" customHeight="1">
      <c r="A69" s="698">
        <f ca="1">IF(ROWS($1:58)&gt;COUNT(Dong2),"",OFFSET(TH!C$1,SMALL(Dong2,ROWS($1:58)),))</f>
        <v>42718</v>
      </c>
      <c r="B69" s="698" t="str">
        <f ca="1">IF(ROWS($1:58)&gt;COUNT(Dong2),"",OFFSET(TH!D$1,SMALL(Dong2,ROWS($1:58)),))</f>
        <v>GBN</v>
      </c>
      <c r="C69" s="698">
        <f ca="1">IF(ROWS($1:58)&gt;COUNT(Dong2),"",OFFSET(TH!E$1,SMALL(Dong2,ROWS($1:58)),))</f>
        <v>42718</v>
      </c>
      <c r="D69" s="699" t="str">
        <f ca="1">IF(ROWS($1:58)&gt;COUNT(Dong2),"",OFFSET(TH!F$1,SMALL(Dong2,ROWS($1:58)),))</f>
        <v>VAT Phí chuyển tiền</v>
      </c>
      <c r="E69" s="698" t="str">
        <f ca="1">IF(ROWS($1:58)&gt;COUNT(Dong2),"",IF(OFFSET(TH!M$1,SMALL(Dong2,ROWS($1:58)),)=$I$6,OFFSET(TH!L$1,SMALL(Dong2,ROWS($1:58)),),OFFSET(TH!M$1,SMALL(Dong2,ROWS($1:58)),)))</f>
        <v>1331</v>
      </c>
      <c r="F69" s="700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00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701">
        <f t="shared" ca="1" si="0"/>
        <v>41848161</v>
      </c>
      <c r="I69" s="702"/>
    </row>
    <row r="70" spans="1:9" s="681" customFormat="1" ht="18.75" customHeight="1">
      <c r="A70" s="698">
        <f ca="1">IF(ROWS($1:59)&gt;COUNT(Dong2),"",OFFSET(TH!C$1,SMALL(Dong2,ROWS($1:59)),))</f>
        <v>42718</v>
      </c>
      <c r="B70" s="698" t="str">
        <f ca="1">IF(ROWS($1:59)&gt;COUNT(Dong2),"",OFFSET(TH!D$1,SMALL(Dong2,ROWS($1:59)),))</f>
        <v>GBN</v>
      </c>
      <c r="C70" s="698">
        <f ca="1">IF(ROWS($1:59)&gt;COUNT(Dong2),"",OFFSET(TH!E$1,SMALL(Dong2,ROWS($1:59)),))</f>
        <v>42718</v>
      </c>
      <c r="D70" s="699" t="str">
        <f ca="1">IF(ROWS($1:59)&gt;COUNT(Dong2),"",OFFSET(TH!F$1,SMALL(Dong2,ROWS($1:59)),))</f>
        <v>Thanh toán tiền thuê kho T12/2016</v>
      </c>
      <c r="E70" s="698" t="str">
        <f ca="1">IF(ROWS($1:59)&gt;COUNT(Dong2),"",IF(OFFSET(TH!M$1,SMALL(Dong2,ROWS($1:59)),)=$I$6,OFFSET(TH!L$1,SMALL(Dong2,ROWS($1:59)),),OFFSET(TH!M$1,SMALL(Dong2,ROWS($1:59)),)))</f>
        <v>331</v>
      </c>
      <c r="F70" s="700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00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701">
        <f t="shared" ca="1" si="0"/>
        <v>1148161</v>
      </c>
      <c r="I70" s="702"/>
    </row>
    <row r="71" spans="1:9" s="681" customFormat="1" ht="18.75" customHeight="1">
      <c r="A71" s="698">
        <f ca="1">IF(ROWS($1:60)&gt;COUNT(Dong2),"",OFFSET(TH!C$1,SMALL(Dong2,ROWS($1:60)),))</f>
        <v>42718</v>
      </c>
      <c r="B71" s="698" t="str">
        <f ca="1">IF(ROWS($1:60)&gt;COUNT(Dong2),"",OFFSET(TH!D$1,SMALL(Dong2,ROWS($1:60)),))</f>
        <v>GBN</v>
      </c>
      <c r="C71" s="698">
        <f ca="1">IF(ROWS($1:60)&gt;COUNT(Dong2),"",OFFSET(TH!E$1,SMALL(Dong2,ROWS($1:60)),))</f>
        <v>42718</v>
      </c>
      <c r="D71" s="699" t="str">
        <f ca="1">IF(ROWS($1:60)&gt;COUNT(Dong2),"",OFFSET(TH!F$1,SMALL(Dong2,ROWS($1:60)),))</f>
        <v>Phí chuyển tiền</v>
      </c>
      <c r="E71" s="698" t="str">
        <f ca="1">IF(ROWS($1:60)&gt;COUNT(Dong2),"",IF(OFFSET(TH!M$1,SMALL(Dong2,ROWS($1:60)),)=$I$6,OFFSET(TH!L$1,SMALL(Dong2,ROWS($1:60)),),OFFSET(TH!M$1,SMALL(Dong2,ROWS($1:60)),)))</f>
        <v>642</v>
      </c>
      <c r="F71" s="700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00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701">
        <f t="shared" ca="1" si="0"/>
        <v>1128161</v>
      </c>
      <c r="I71" s="702"/>
    </row>
    <row r="72" spans="1:9" s="681" customFormat="1" ht="18.75" customHeight="1">
      <c r="A72" s="698">
        <f ca="1">IF(ROWS($1:61)&gt;COUNT(Dong2),"",OFFSET(TH!C$1,SMALL(Dong2,ROWS($1:61)),))</f>
        <v>42718</v>
      </c>
      <c r="B72" s="698" t="str">
        <f ca="1">IF(ROWS($1:61)&gt;COUNT(Dong2),"",OFFSET(TH!D$1,SMALL(Dong2,ROWS($1:61)),))</f>
        <v>GBN</v>
      </c>
      <c r="C72" s="698">
        <f ca="1">IF(ROWS($1:61)&gt;COUNT(Dong2),"",OFFSET(TH!E$1,SMALL(Dong2,ROWS($1:61)),))</f>
        <v>42718</v>
      </c>
      <c r="D72" s="699" t="str">
        <f ca="1">IF(ROWS($1:61)&gt;COUNT(Dong2),"",OFFSET(TH!F$1,SMALL(Dong2,ROWS($1:61)),))</f>
        <v>VAT Phí chuyển tiền</v>
      </c>
      <c r="E72" s="698" t="str">
        <f ca="1">IF(ROWS($1:61)&gt;COUNT(Dong2),"",IF(OFFSET(TH!M$1,SMALL(Dong2,ROWS($1:61)),)=$I$6,OFFSET(TH!L$1,SMALL(Dong2,ROWS($1:61)),),OFFSET(TH!M$1,SMALL(Dong2,ROWS($1:61)),)))</f>
        <v>1331</v>
      </c>
      <c r="F72" s="700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00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701">
        <f t="shared" ca="1" si="0"/>
        <v>1126161</v>
      </c>
      <c r="I72" s="702"/>
    </row>
    <row r="73" spans="1:9" s="681" customFormat="1" ht="18.75" customHeight="1">
      <c r="A73" s="698">
        <f ca="1">IF(ROWS($1:62)&gt;COUNT(Dong2),"",OFFSET(TH!C$1,SMALL(Dong2,ROWS($1:62)),))</f>
        <v>42723</v>
      </c>
      <c r="B73" s="698" t="str">
        <f ca="1">IF(ROWS($1:62)&gt;COUNT(Dong2),"",OFFSET(TH!D$1,SMALL(Dong2,ROWS($1:62)),))</f>
        <v>C28</v>
      </c>
      <c r="C73" s="698">
        <f ca="1">IF(ROWS($1:62)&gt;COUNT(Dong2),"",OFFSET(TH!E$1,SMALL(Dong2,ROWS($1:62)),))</f>
        <v>42723</v>
      </c>
      <c r="D73" s="699" t="str">
        <f ca="1">IF(ROWS($1:62)&gt;COUNT(Dong2),"",OFFSET(TH!F$1,SMALL(Dong2,ROWS($1:62)),))</f>
        <v>Nộp tiền mặt</v>
      </c>
      <c r="E73" s="698" t="str">
        <f ca="1">IF(ROWS($1:62)&gt;COUNT(Dong2),"",IF(OFFSET(TH!M$1,SMALL(Dong2,ROWS($1:62)),)=$I$6,OFFSET(TH!L$1,SMALL(Dong2,ROWS($1:62)),),OFFSET(TH!M$1,SMALL(Dong2,ROWS($1:62)),)))</f>
        <v>1111</v>
      </c>
      <c r="F73" s="700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700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701">
        <f t="shared" ca="1" si="0"/>
        <v>12526161</v>
      </c>
      <c r="I73" s="702"/>
    </row>
    <row r="74" spans="1:9" s="681" customFormat="1" ht="18.75" customHeight="1">
      <c r="A74" s="698">
        <f ca="1">IF(ROWS($1:63)&gt;COUNT(Dong2),"",OFFSET(TH!C$1,SMALL(Dong2,ROWS($1:63)),))</f>
        <v>42723</v>
      </c>
      <c r="B74" s="698" t="str">
        <f ca="1">IF(ROWS($1:63)&gt;COUNT(Dong2),"",OFFSET(TH!D$1,SMALL(Dong2,ROWS($1:63)),))</f>
        <v>GBN</v>
      </c>
      <c r="C74" s="698">
        <f ca="1">IF(ROWS($1:63)&gt;COUNT(Dong2),"",OFFSET(TH!E$1,SMALL(Dong2,ROWS($1:63)),))</f>
        <v>42723</v>
      </c>
      <c r="D74" s="699" t="str">
        <f ca="1">IF(ROWS($1:63)&gt;COUNT(Dong2),"",OFFSET(TH!F$1,SMALL(Dong2,ROWS($1:63)),))</f>
        <v>Thanh toán tiền điện</v>
      </c>
      <c r="E74" s="698" t="str">
        <f ca="1">IF(ROWS($1:63)&gt;COUNT(Dong2),"",IF(OFFSET(TH!M$1,SMALL(Dong2,ROWS($1:63)),)=$I$6,OFFSET(TH!L$1,SMALL(Dong2,ROWS($1:63)),),OFFSET(TH!M$1,SMALL(Dong2,ROWS($1:63)),)))</f>
        <v>1388</v>
      </c>
      <c r="F74" s="700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00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701">
        <f t="shared" ca="1" si="0"/>
        <v>1239391</v>
      </c>
      <c r="I74" s="702"/>
    </row>
    <row r="75" spans="1:9" s="681" customFormat="1" ht="18.75" customHeight="1">
      <c r="A75" s="698">
        <f ca="1">IF(ROWS($1:64)&gt;COUNT(Dong2),"",OFFSET(TH!C$1,SMALL(Dong2,ROWS($1:64)),))</f>
        <v>42723</v>
      </c>
      <c r="B75" s="698" t="str">
        <f ca="1">IF(ROWS($1:64)&gt;COUNT(Dong2),"",OFFSET(TH!D$1,SMALL(Dong2,ROWS($1:64)),))</f>
        <v>GBN</v>
      </c>
      <c r="C75" s="698">
        <f ca="1">IF(ROWS($1:64)&gt;COUNT(Dong2),"",OFFSET(TH!E$1,SMALL(Dong2,ROWS($1:64)),))</f>
        <v>42723</v>
      </c>
      <c r="D75" s="699" t="str">
        <f ca="1">IF(ROWS($1:64)&gt;COUNT(Dong2),"",OFFSET(TH!F$1,SMALL(Dong2,ROWS($1:64)),))</f>
        <v>Phí kiểm đếm</v>
      </c>
      <c r="E75" s="698" t="str">
        <f ca="1">IF(ROWS($1:64)&gt;COUNT(Dong2),"",IF(OFFSET(TH!M$1,SMALL(Dong2,ROWS($1:64)),)=$I$6,OFFSET(TH!L$1,SMALL(Dong2,ROWS($1:64)),),OFFSET(TH!M$1,SMALL(Dong2,ROWS($1:64)),)))</f>
        <v>642</v>
      </c>
      <c r="F75" s="700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00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701">
        <f t="shared" ca="1" si="0"/>
        <v>1219391</v>
      </c>
      <c r="I75" s="702"/>
    </row>
    <row r="76" spans="1:9" s="681" customFormat="1" ht="18.75" customHeight="1">
      <c r="A76" s="698">
        <f ca="1">IF(ROWS($1:65)&gt;COUNT(Dong2),"",OFFSET(TH!C$1,SMALL(Dong2,ROWS($1:65)),))</f>
        <v>42723</v>
      </c>
      <c r="B76" s="698" t="str">
        <f ca="1">IF(ROWS($1:65)&gt;COUNT(Dong2),"",OFFSET(TH!D$1,SMALL(Dong2,ROWS($1:65)),))</f>
        <v>GBN</v>
      </c>
      <c r="C76" s="698">
        <f ca="1">IF(ROWS($1:65)&gt;COUNT(Dong2),"",OFFSET(TH!E$1,SMALL(Dong2,ROWS($1:65)),))</f>
        <v>42723</v>
      </c>
      <c r="D76" s="699" t="str">
        <f ca="1">IF(ROWS($1:65)&gt;COUNT(Dong2),"",OFFSET(TH!F$1,SMALL(Dong2,ROWS($1:65)),))</f>
        <v>VAT Phí kiểm đếm</v>
      </c>
      <c r="E76" s="698" t="str">
        <f ca="1">IF(ROWS($1:65)&gt;COUNT(Dong2),"",IF(OFFSET(TH!M$1,SMALL(Dong2,ROWS($1:65)),)=$I$6,OFFSET(TH!L$1,SMALL(Dong2,ROWS($1:65)),),OFFSET(TH!M$1,SMALL(Dong2,ROWS($1:65)),)))</f>
        <v>1331</v>
      </c>
      <c r="F76" s="700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00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701">
        <f t="shared" ca="1" si="0"/>
        <v>1217391</v>
      </c>
      <c r="I76" s="702"/>
    </row>
    <row r="77" spans="1:9" s="681" customFormat="1" ht="18.75" customHeight="1">
      <c r="A77" s="698">
        <f ca="1">IF(ROWS($1:66)&gt;COUNT(Dong2),"",OFFSET(TH!C$1,SMALL(Dong2,ROWS($1:66)),))</f>
        <v>42724</v>
      </c>
      <c r="B77" s="698" t="str">
        <f ca="1">IF(ROWS($1:66)&gt;COUNT(Dong2),"",OFFSET(TH!D$1,SMALL(Dong2,ROWS($1:66)),))</f>
        <v>C29</v>
      </c>
      <c r="C77" s="698">
        <f ca="1">IF(ROWS($1:66)&gt;COUNT(Dong2),"",OFFSET(TH!E$1,SMALL(Dong2,ROWS($1:66)),))</f>
        <v>42724</v>
      </c>
      <c r="D77" s="699" t="str">
        <f ca="1">IF(ROWS($1:66)&gt;COUNT(Dong2),"",OFFSET(TH!F$1,SMALL(Dong2,ROWS($1:66)),))</f>
        <v>Nộp tiền mặt</v>
      </c>
      <c r="E77" s="698" t="str">
        <f ca="1">IF(ROWS($1:66)&gt;COUNT(Dong2),"",IF(OFFSET(TH!M$1,SMALL(Dong2,ROWS($1:66)),)=$I$6,OFFSET(TH!L$1,SMALL(Dong2,ROWS($1:66)),),OFFSET(TH!M$1,SMALL(Dong2,ROWS($1:66)),)))</f>
        <v>1111</v>
      </c>
      <c r="F77" s="700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700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701">
        <f t="shared" ref="H77:H90" ca="1" si="1">IF(A77&lt;&gt;"",H76+F77-G77,0)</f>
        <v>31217391</v>
      </c>
      <c r="I77" s="702"/>
    </row>
    <row r="78" spans="1:9" s="681" customFormat="1" ht="18.75" customHeight="1">
      <c r="A78" s="698">
        <f ca="1">IF(ROWS($1:67)&gt;COUNT(Dong2),"",OFFSET(TH!C$1,SMALL(Dong2,ROWS($1:67)),))</f>
        <v>42724</v>
      </c>
      <c r="B78" s="698" t="str">
        <f ca="1">IF(ROWS($1:67)&gt;COUNT(Dong2),"",OFFSET(TH!D$1,SMALL(Dong2,ROWS($1:67)),))</f>
        <v>GBN</v>
      </c>
      <c r="C78" s="698">
        <f ca="1">IF(ROWS($1:67)&gt;COUNT(Dong2),"",OFFSET(TH!E$1,SMALL(Dong2,ROWS($1:67)),))</f>
        <v>42724</v>
      </c>
      <c r="D78" s="699" t="str">
        <f ca="1">IF(ROWS($1:67)&gt;COUNT(Dong2),"",OFFSET(TH!F$1,SMALL(Dong2,ROWS($1:67)),))</f>
        <v>Thanh toán tiền hàng</v>
      </c>
      <c r="E78" s="698" t="str">
        <f ca="1">IF(ROWS($1:67)&gt;COUNT(Dong2),"",IF(OFFSET(TH!M$1,SMALL(Dong2,ROWS($1:67)),)=$I$6,OFFSET(TH!L$1,SMALL(Dong2,ROWS($1:67)),),OFFSET(TH!M$1,SMALL(Dong2,ROWS($1:67)),)))</f>
        <v>331</v>
      </c>
      <c r="F78" s="700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00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701">
        <f t="shared" ca="1" si="1"/>
        <v>1217391</v>
      </c>
      <c r="I78" s="702"/>
    </row>
    <row r="79" spans="1:9" s="681" customFormat="1" ht="18.75" customHeight="1">
      <c r="A79" s="698">
        <f ca="1">IF(ROWS($1:68)&gt;COUNT(Dong2),"",OFFSET(TH!C$1,SMALL(Dong2,ROWS($1:68)),))</f>
        <v>42724</v>
      </c>
      <c r="B79" s="698" t="str">
        <f ca="1">IF(ROWS($1:68)&gt;COUNT(Dong2),"",OFFSET(TH!D$1,SMALL(Dong2,ROWS($1:68)),))</f>
        <v>GBN</v>
      </c>
      <c r="C79" s="698">
        <f ca="1">IF(ROWS($1:68)&gt;COUNT(Dong2),"",OFFSET(TH!E$1,SMALL(Dong2,ROWS($1:68)),))</f>
        <v>42724</v>
      </c>
      <c r="D79" s="699" t="str">
        <f ca="1">IF(ROWS($1:68)&gt;COUNT(Dong2),"",OFFSET(TH!F$1,SMALL(Dong2,ROWS($1:68)),))</f>
        <v>Phí chuyển tiền</v>
      </c>
      <c r="E79" s="698" t="str">
        <f ca="1">IF(ROWS($1:68)&gt;COUNT(Dong2),"",IF(OFFSET(TH!M$1,SMALL(Dong2,ROWS($1:68)),)=$I$6,OFFSET(TH!L$1,SMALL(Dong2,ROWS($1:68)),),OFFSET(TH!M$1,SMALL(Dong2,ROWS($1:68)),)))</f>
        <v>642</v>
      </c>
      <c r="F79" s="700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00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701">
        <f t="shared" ca="1" si="1"/>
        <v>1197391</v>
      </c>
      <c r="I79" s="702"/>
    </row>
    <row r="80" spans="1:9" s="681" customFormat="1" ht="18.75" customHeight="1">
      <c r="A80" s="698">
        <f ca="1">IF(ROWS($1:69)&gt;COUNT(Dong2),"",OFFSET(TH!C$1,SMALL(Dong2,ROWS($1:69)),))</f>
        <v>42724</v>
      </c>
      <c r="B80" s="698" t="str">
        <f ca="1">IF(ROWS($1:69)&gt;COUNT(Dong2),"",OFFSET(TH!D$1,SMALL(Dong2,ROWS($1:69)),))</f>
        <v>GBN</v>
      </c>
      <c r="C80" s="698">
        <f ca="1">IF(ROWS($1:69)&gt;COUNT(Dong2),"",OFFSET(TH!E$1,SMALL(Dong2,ROWS($1:69)),))</f>
        <v>42724</v>
      </c>
      <c r="D80" s="699" t="str">
        <f ca="1">IF(ROWS($1:69)&gt;COUNT(Dong2),"",OFFSET(TH!F$1,SMALL(Dong2,ROWS($1:69)),))</f>
        <v>VAT Phí chuyển tiền</v>
      </c>
      <c r="E80" s="698" t="str">
        <f ca="1">IF(ROWS($1:69)&gt;COUNT(Dong2),"",IF(OFFSET(TH!M$1,SMALL(Dong2,ROWS($1:69)),)=$I$6,OFFSET(TH!L$1,SMALL(Dong2,ROWS($1:69)),),OFFSET(TH!M$1,SMALL(Dong2,ROWS($1:69)),)))</f>
        <v>1331</v>
      </c>
      <c r="F80" s="700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00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701">
        <f t="shared" ca="1" si="1"/>
        <v>1195391</v>
      </c>
      <c r="I80" s="702"/>
    </row>
    <row r="81" spans="1:9" s="681" customFormat="1" ht="18.75" customHeight="1">
      <c r="A81" s="698">
        <f ca="1">IF(ROWS($1:70)&gt;COUNT(Dong2),"",OFFSET(TH!C$1,SMALL(Dong2,ROWS($1:70)),))</f>
        <v>42724</v>
      </c>
      <c r="B81" s="698" t="str">
        <f ca="1">IF(ROWS($1:70)&gt;COUNT(Dong2),"",OFFSET(TH!D$1,SMALL(Dong2,ROWS($1:70)),))</f>
        <v>GBN</v>
      </c>
      <c r="C81" s="698">
        <f ca="1">IF(ROWS($1:70)&gt;COUNT(Dong2),"",OFFSET(TH!E$1,SMALL(Dong2,ROWS($1:70)),))</f>
        <v>42724</v>
      </c>
      <c r="D81" s="699" t="str">
        <f ca="1">IF(ROWS($1:70)&gt;COUNT(Dong2),"",OFFSET(TH!F$1,SMALL(Dong2,ROWS($1:70)),))</f>
        <v>Phí kiểm đếm</v>
      </c>
      <c r="E81" s="698" t="str">
        <f ca="1">IF(ROWS($1:70)&gt;COUNT(Dong2),"",IF(OFFSET(TH!M$1,SMALL(Dong2,ROWS($1:70)),)=$I$6,OFFSET(TH!L$1,SMALL(Dong2,ROWS($1:70)),),OFFSET(TH!M$1,SMALL(Dong2,ROWS($1:70)),)))</f>
        <v>642</v>
      </c>
      <c r="F81" s="700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00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701">
        <f t="shared" ca="1" si="1"/>
        <v>1175391</v>
      </c>
      <c r="I81" s="702"/>
    </row>
    <row r="82" spans="1:9" s="681" customFormat="1" ht="18.75" customHeight="1">
      <c r="A82" s="698">
        <f ca="1">IF(ROWS($1:71)&gt;COUNT(Dong2),"",OFFSET(TH!C$1,SMALL(Dong2,ROWS($1:71)),))</f>
        <v>42724</v>
      </c>
      <c r="B82" s="698" t="str">
        <f ca="1">IF(ROWS($1:71)&gt;COUNT(Dong2),"",OFFSET(TH!D$1,SMALL(Dong2,ROWS($1:71)),))</f>
        <v>GBN</v>
      </c>
      <c r="C82" s="698">
        <f ca="1">IF(ROWS($1:71)&gt;COUNT(Dong2),"",OFFSET(TH!E$1,SMALL(Dong2,ROWS($1:71)),))</f>
        <v>42724</v>
      </c>
      <c r="D82" s="699" t="str">
        <f ca="1">IF(ROWS($1:71)&gt;COUNT(Dong2),"",OFFSET(TH!F$1,SMALL(Dong2,ROWS($1:71)),))</f>
        <v>VAT Phí kiểm đếm</v>
      </c>
      <c r="E82" s="698" t="str">
        <f ca="1">IF(ROWS($1:71)&gt;COUNT(Dong2),"",IF(OFFSET(TH!M$1,SMALL(Dong2,ROWS($1:71)),)=$I$6,OFFSET(TH!L$1,SMALL(Dong2,ROWS($1:71)),),OFFSET(TH!M$1,SMALL(Dong2,ROWS($1:71)),)))</f>
        <v>1331</v>
      </c>
      <c r="F82" s="700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00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701">
        <f t="shared" ca="1" si="1"/>
        <v>1173391</v>
      </c>
      <c r="I82" s="702"/>
    </row>
    <row r="83" spans="1:9" s="681" customFormat="1" ht="18.75" customHeight="1">
      <c r="A83" s="698">
        <f ca="1">IF(ROWS($1:72)&gt;COUNT(Dong2),"",OFFSET(TH!C$1,SMALL(Dong2,ROWS($1:72)),))</f>
        <v>42726</v>
      </c>
      <c r="B83" s="698" t="str">
        <f ca="1">IF(ROWS($1:72)&gt;COUNT(Dong2),"",OFFSET(TH!D$1,SMALL(Dong2,ROWS($1:72)),))</f>
        <v>GBC</v>
      </c>
      <c r="C83" s="698">
        <f ca="1">IF(ROWS($1:72)&gt;COUNT(Dong2),"",OFFSET(TH!E$1,SMALL(Dong2,ROWS($1:72)),))</f>
        <v>42726</v>
      </c>
      <c r="D83" s="699" t="str">
        <f ca="1">IF(ROWS($1:72)&gt;COUNT(Dong2),"",OFFSET(TH!F$1,SMALL(Dong2,ROWS($1:72)),))</f>
        <v>Hoàn trả lệnh chuyển tiền do sai tên</v>
      </c>
      <c r="E83" s="698" t="str">
        <f ca="1">IF(ROWS($1:72)&gt;COUNT(Dong2),"",IF(OFFSET(TH!M$1,SMALL(Dong2,ROWS($1:72)),)=$I$6,OFFSET(TH!L$1,SMALL(Dong2,ROWS($1:72)),),OFFSET(TH!M$1,SMALL(Dong2,ROWS($1:72)),)))</f>
        <v>1388</v>
      </c>
      <c r="F83" s="700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700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01">
        <f t="shared" ca="1" si="1"/>
        <v>12460161</v>
      </c>
      <c r="I83" s="702"/>
    </row>
    <row r="84" spans="1:9" s="681" customFormat="1" ht="18.75" customHeight="1">
      <c r="A84" s="698">
        <f ca="1">IF(ROWS($1:73)&gt;COUNT(Dong2),"",OFFSET(TH!C$1,SMALL(Dong2,ROWS($1:73)),))</f>
        <v>42726</v>
      </c>
      <c r="B84" s="698" t="str">
        <f ca="1">IF(ROWS($1:73)&gt;COUNT(Dong2),"",OFFSET(TH!D$1,SMALL(Dong2,ROWS($1:73)),))</f>
        <v>T40</v>
      </c>
      <c r="C84" s="698">
        <f ca="1">IF(ROWS($1:73)&gt;COUNT(Dong2),"",OFFSET(TH!E$1,SMALL(Dong2,ROWS($1:73)),))</f>
        <v>42726</v>
      </c>
      <c r="D84" s="699" t="str">
        <f ca="1">IF(ROWS($1:73)&gt;COUNT(Dong2),"",OFFSET(TH!F$1,SMALL(Dong2,ROWS($1:73)),))</f>
        <v>Rút tiền mặt</v>
      </c>
      <c r="E84" s="698" t="str">
        <f ca="1">IF(ROWS($1:73)&gt;COUNT(Dong2),"",IF(OFFSET(TH!M$1,SMALL(Dong2,ROWS($1:73)),)=$I$6,OFFSET(TH!L$1,SMALL(Dong2,ROWS($1:73)),),OFFSET(TH!M$1,SMALL(Dong2,ROWS($1:73)),)))</f>
        <v>1111</v>
      </c>
      <c r="F84" s="700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00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701">
        <f t="shared" ca="1" si="1"/>
        <v>1160161</v>
      </c>
      <c r="I84" s="702"/>
    </row>
    <row r="85" spans="1:9" s="681" customFormat="1" ht="18.75" customHeight="1">
      <c r="A85" s="698">
        <f ca="1">IF(ROWS($1:74)&gt;COUNT(Dong2),"",OFFSET(TH!C$1,SMALL(Dong2,ROWS($1:74)),))</f>
        <v>42731</v>
      </c>
      <c r="B85" s="698" t="str">
        <f ca="1">IF(ROWS($1:74)&gt;COUNT(Dong2),"",OFFSET(TH!D$1,SMALL(Dong2,ROWS($1:74)),))</f>
        <v>GBC</v>
      </c>
      <c r="C85" s="698">
        <f ca="1">IF(ROWS($1:74)&gt;COUNT(Dong2),"",OFFSET(TH!E$1,SMALL(Dong2,ROWS($1:74)),))</f>
        <v>42731</v>
      </c>
      <c r="D85" s="699" t="str">
        <f ca="1">IF(ROWS($1:74)&gt;COUNT(Dong2),"",OFFSET(TH!F$1,SMALL(Dong2,ROWS($1:74)),))</f>
        <v>Thu tiền hàng</v>
      </c>
      <c r="E85" s="698" t="str">
        <f ca="1">IF(ROWS($1:74)&gt;COUNT(Dong2),"",IF(OFFSET(TH!M$1,SMALL(Dong2,ROWS($1:74)),)=$I$6,OFFSET(TH!L$1,SMALL(Dong2,ROWS($1:74)),),OFFSET(TH!M$1,SMALL(Dong2,ROWS($1:74)),)))</f>
        <v>131</v>
      </c>
      <c r="F85" s="700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700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701">
        <f t="shared" ca="1" si="1"/>
        <v>6849801</v>
      </c>
      <c r="I85" s="702"/>
    </row>
    <row r="86" spans="1:9" s="681" customFormat="1" ht="18.75" customHeight="1">
      <c r="A86" s="698">
        <f ca="1">IF(ROWS($1:75)&gt;COUNT(Dong2),"",OFFSET(TH!C$1,SMALL(Dong2,ROWS($1:75)),))</f>
        <v>42732</v>
      </c>
      <c r="B86" s="698" t="str">
        <f ca="1">IF(ROWS($1:75)&gt;COUNT(Dong2),"",OFFSET(TH!D$1,SMALL(Dong2,ROWS($1:75)),))</f>
        <v>T47</v>
      </c>
      <c r="C86" s="698">
        <f ca="1">IF(ROWS($1:75)&gt;COUNT(Dong2),"",OFFSET(TH!E$1,SMALL(Dong2,ROWS($1:75)),))</f>
        <v>42732</v>
      </c>
      <c r="D86" s="699" t="str">
        <f ca="1">IF(ROWS($1:75)&gt;COUNT(Dong2),"",OFFSET(TH!F$1,SMALL(Dong2,ROWS($1:75)),))</f>
        <v>Rút tiền mặt</v>
      </c>
      <c r="E86" s="698" t="str">
        <f ca="1">IF(ROWS($1:75)&gt;COUNT(Dong2),"",IF(OFFSET(TH!M$1,SMALL(Dong2,ROWS($1:75)),)=$I$6,OFFSET(TH!L$1,SMALL(Dong2,ROWS($1:75)),),OFFSET(TH!M$1,SMALL(Dong2,ROWS($1:75)),)))</f>
        <v>1111</v>
      </c>
      <c r="F86" s="700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00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701">
        <f t="shared" ca="1" si="1"/>
        <v>1349801</v>
      </c>
      <c r="I86" s="702"/>
    </row>
    <row r="87" spans="1:9" s="681" customFormat="1" ht="18.75" customHeight="1">
      <c r="A87" s="698">
        <f ca="1">IF(ROWS($1:76)&gt;COUNT(Dong2),"",OFFSET(TH!C$1,SMALL(Dong2,ROWS($1:76)),))</f>
        <v>42733</v>
      </c>
      <c r="B87" s="698" t="str">
        <f ca="1">IF(ROWS($1:76)&gt;COUNT(Dong2),"",OFFSET(TH!D$1,SMALL(Dong2,ROWS($1:76)),))</f>
        <v>GBC</v>
      </c>
      <c r="C87" s="698">
        <f ca="1">IF(ROWS($1:76)&gt;COUNT(Dong2),"",OFFSET(TH!E$1,SMALL(Dong2,ROWS($1:76)),))</f>
        <v>42733</v>
      </c>
      <c r="D87" s="699" t="str">
        <f ca="1">IF(ROWS($1:76)&gt;COUNT(Dong2),"",OFFSET(TH!F$1,SMALL(Dong2,ROWS($1:76)),))</f>
        <v>Thu tiền hàng</v>
      </c>
      <c r="E87" s="698" t="str">
        <f ca="1">IF(ROWS($1:76)&gt;COUNT(Dong2),"",IF(OFFSET(TH!M$1,SMALL(Dong2,ROWS($1:76)),)=$I$6,OFFSET(TH!L$1,SMALL(Dong2,ROWS($1:76)),),OFFSET(TH!M$1,SMALL(Dong2,ROWS($1:76)),)))</f>
        <v>131</v>
      </c>
      <c r="F87" s="700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700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701">
        <f t="shared" ca="1" si="1"/>
        <v>10843901</v>
      </c>
      <c r="I87" s="702"/>
    </row>
    <row r="88" spans="1:9" s="681" customFormat="1" ht="18.75" customHeight="1">
      <c r="A88" s="698">
        <f ca="1">IF(ROWS($1:77)&gt;COUNT(Dong2),"",OFFSET(TH!C$1,SMALL(Dong2,ROWS($1:77)),))</f>
        <v>42734</v>
      </c>
      <c r="B88" s="698" t="str">
        <f ca="1">IF(ROWS($1:77)&gt;COUNT(Dong2),"",OFFSET(TH!D$1,SMALL(Dong2,ROWS($1:77)),))</f>
        <v>GBC</v>
      </c>
      <c r="C88" s="698">
        <f ca="1">IF(ROWS($1:77)&gt;COUNT(Dong2),"",OFFSET(TH!E$1,SMALL(Dong2,ROWS($1:77)),))</f>
        <v>42734</v>
      </c>
      <c r="D88" s="699" t="str">
        <f ca="1">IF(ROWS($1:77)&gt;COUNT(Dong2),"",OFFSET(TH!F$1,SMALL(Dong2,ROWS($1:77)),))</f>
        <v>Thu tiền hàng</v>
      </c>
      <c r="E88" s="698" t="str">
        <f ca="1">IF(ROWS($1:77)&gt;COUNT(Dong2),"",IF(OFFSET(TH!M$1,SMALL(Dong2,ROWS($1:77)),)=$I$6,OFFSET(TH!L$1,SMALL(Dong2,ROWS($1:77)),),OFFSET(TH!M$1,SMALL(Dong2,ROWS($1:77)),)))</f>
        <v>131</v>
      </c>
      <c r="F88" s="700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700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701">
        <f t="shared" ca="1" si="1"/>
        <v>25638188</v>
      </c>
      <c r="I88" s="702"/>
    </row>
    <row r="89" spans="1:9" s="681" customFormat="1" ht="18.75" customHeight="1">
      <c r="A89" s="698">
        <f ca="1">IF(ROWS($1:78)&gt;COUNT(Dong2),"",OFFSET(TH!C$1,SMALL(Dong2,ROWS($1:78)),))</f>
        <v>42734</v>
      </c>
      <c r="B89" s="698" t="str">
        <f ca="1">IF(ROWS($1:78)&gt;COUNT(Dong2),"",OFFSET(TH!D$1,SMALL(Dong2,ROWS($1:78)),))</f>
        <v>T49</v>
      </c>
      <c r="C89" s="698">
        <f ca="1">IF(ROWS($1:78)&gt;COUNT(Dong2),"",OFFSET(TH!E$1,SMALL(Dong2,ROWS($1:78)),))</f>
        <v>42734</v>
      </c>
      <c r="D89" s="699" t="str">
        <f ca="1">IF(ROWS($1:78)&gt;COUNT(Dong2),"",OFFSET(TH!F$1,SMALL(Dong2,ROWS($1:78)),))</f>
        <v>Rút tiền mặt</v>
      </c>
      <c r="E89" s="698" t="str">
        <f ca="1">IF(ROWS($1:78)&gt;COUNT(Dong2),"",IF(OFFSET(TH!M$1,SMALL(Dong2,ROWS($1:78)),)=$I$6,OFFSET(TH!L$1,SMALL(Dong2,ROWS($1:78)),),OFFSET(TH!M$1,SMALL(Dong2,ROWS($1:78)),)))</f>
        <v>1111</v>
      </c>
      <c r="F89" s="700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00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701">
        <f t="shared" ca="1" si="1"/>
        <v>16138188</v>
      </c>
      <c r="I89" s="702"/>
    </row>
    <row r="90" spans="1:9" s="681" customFormat="1" ht="18.75" customHeight="1">
      <c r="A90" s="698">
        <f ca="1">IF(ROWS($1:79)&gt;COUNT(Dong2),"",OFFSET(TH!C$1,SMALL(Dong2,ROWS($1:79)),))</f>
        <v>42735</v>
      </c>
      <c r="B90" s="698" t="str">
        <f ca="1">IF(ROWS($1:79)&gt;COUNT(Dong2),"",OFFSET(TH!D$1,SMALL(Dong2,ROWS($1:79)),))</f>
        <v>GBC</v>
      </c>
      <c r="C90" s="698">
        <f ca="1">IF(ROWS($1:79)&gt;COUNT(Dong2),"",OFFSET(TH!E$1,SMALL(Dong2,ROWS($1:79)),))</f>
        <v>42735</v>
      </c>
      <c r="D90" s="699" t="str">
        <f ca="1">IF(ROWS($1:79)&gt;COUNT(Dong2),"",OFFSET(TH!F$1,SMALL(Dong2,ROWS($1:79)),))</f>
        <v>Lãi tiền gửi</v>
      </c>
      <c r="E90" s="698" t="str">
        <f ca="1">IF(ROWS($1:79)&gt;COUNT(Dong2),"",IF(OFFSET(TH!M$1,SMALL(Dong2,ROWS($1:79)),)=$I$6,OFFSET(TH!L$1,SMALL(Dong2,ROWS($1:79)),),OFFSET(TH!M$1,SMALL(Dong2,ROWS($1:79)),)))</f>
        <v>515</v>
      </c>
      <c r="F90" s="700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700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01">
        <f t="shared" ca="1" si="1"/>
        <v>16140937</v>
      </c>
      <c r="I90" s="702"/>
    </row>
    <row r="91" spans="1:9" s="681" customFormat="1" ht="18.75" customHeight="1">
      <c r="A91" s="698">
        <f ca="1">IF(ROWS($1:80)&gt;COUNT(Dong2),"",OFFSET(TH!C$1,SMALL(Dong2,ROWS($1:80)),))</f>
        <v>42735</v>
      </c>
      <c r="B91" s="698" t="str">
        <f ca="1">IF(ROWS($1:80)&gt;COUNT(Dong2),"",OFFSET(TH!D$1,SMALL(Dong2,ROWS($1:80)),))</f>
        <v>GBN</v>
      </c>
      <c r="C91" s="698">
        <f ca="1">IF(ROWS($1:80)&gt;COUNT(Dong2),"",OFFSET(TH!E$1,SMALL(Dong2,ROWS($1:80)),))</f>
        <v>42735</v>
      </c>
      <c r="D91" s="699" t="str">
        <f ca="1">IF(ROWS($1:80)&gt;COUNT(Dong2),"",OFFSET(TH!F$1,SMALL(Dong2,ROWS($1:80)),))</f>
        <v>Phí quản lý tài khoản</v>
      </c>
      <c r="E91" s="698" t="str">
        <f ca="1">IF(ROWS($1:80)&gt;COUNT(Dong2),"",IF(OFFSET(TH!M$1,SMALL(Dong2,ROWS($1:80)),)=$I$6,OFFSET(TH!L$1,SMALL(Dong2,ROWS($1:80)),),OFFSET(TH!M$1,SMALL(Dong2,ROWS($1:80)),)))</f>
        <v>642</v>
      </c>
      <c r="F91" s="700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00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701">
        <f t="shared" ref="H91:H93" ca="1" si="2">IF(A91&lt;&gt;"",H90+F91-G91,0)</f>
        <v>16130937</v>
      </c>
      <c r="I91" s="702"/>
    </row>
    <row r="92" spans="1:9" s="681" customFormat="1" ht="18.75" customHeight="1">
      <c r="A92" s="698">
        <f ca="1">IF(ROWS($1:81)&gt;COUNT(Dong2),"",OFFSET(TH!C$1,SMALL(Dong2,ROWS($1:81)),))</f>
        <v>42735</v>
      </c>
      <c r="B92" s="698" t="str">
        <f ca="1">IF(ROWS($1:81)&gt;COUNT(Dong2),"",OFFSET(TH!D$1,SMALL(Dong2,ROWS($1:81)),))</f>
        <v>GBN</v>
      </c>
      <c r="C92" s="698">
        <f ca="1">IF(ROWS($1:81)&gt;COUNT(Dong2),"",OFFSET(TH!E$1,SMALL(Dong2,ROWS($1:81)),))</f>
        <v>42735</v>
      </c>
      <c r="D92" s="699" t="str">
        <f ca="1">IF(ROWS($1:81)&gt;COUNT(Dong2),"",OFFSET(TH!F$1,SMALL(Dong2,ROWS($1:81)),))</f>
        <v>VAT Phí quản lý tài khoản</v>
      </c>
      <c r="E92" s="698" t="str">
        <f ca="1">IF(ROWS($1:81)&gt;COUNT(Dong2),"",IF(OFFSET(TH!M$1,SMALL(Dong2,ROWS($1:81)),)=$I$6,OFFSET(TH!L$1,SMALL(Dong2,ROWS($1:81)),),OFFSET(TH!M$1,SMALL(Dong2,ROWS($1:81)),)))</f>
        <v>1331</v>
      </c>
      <c r="F92" s="700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00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701">
        <f t="shared" ca="1" si="2"/>
        <v>16129937</v>
      </c>
      <c r="I92" s="702"/>
    </row>
    <row r="93" spans="1:9" s="681" customFormat="1" ht="18.75" customHeight="1">
      <c r="A93" s="698" t="str">
        <f ca="1">IF(ROWS($1:82)&gt;COUNT(Dong2),"",OFFSET(TH!C$1,SMALL(Dong2,ROWS($1:82)),))</f>
        <v/>
      </c>
      <c r="B93" s="698" t="str">
        <f ca="1">IF(ROWS($1:82)&gt;COUNT(Dong2),"",OFFSET(TH!D$1,SMALL(Dong2,ROWS($1:82)),))</f>
        <v/>
      </c>
      <c r="C93" s="698" t="str">
        <f ca="1">IF(ROWS($1:82)&gt;COUNT(Dong2),"",OFFSET(TH!E$1,SMALL(Dong2,ROWS($1:82)),))</f>
        <v/>
      </c>
      <c r="D93" s="699" t="str">
        <f ca="1">IF(ROWS($1:82)&gt;COUNT(Dong2),"",OFFSET(TH!F$1,SMALL(Dong2,ROWS($1:82)),))</f>
        <v/>
      </c>
      <c r="E93" s="698" t="str">
        <f ca="1">IF(ROWS($1:82)&gt;COUNT(Dong2),"",IF(OFFSET(TH!M$1,SMALL(Dong2,ROWS($1:82)),)=$I$6,OFFSET(TH!L$1,SMALL(Dong2,ROWS($1:82)),),OFFSET(TH!M$1,SMALL(Dong2,ROWS($1:82)),)))</f>
        <v/>
      </c>
      <c r="F93" s="7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7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01">
        <f t="shared" ca="1" si="2"/>
        <v>0</v>
      </c>
      <c r="I93" s="702"/>
    </row>
    <row r="94" spans="1:9" s="681" customFormat="1" ht="18.75" customHeight="1">
      <c r="A94" s="698" t="str">
        <f ca="1">IF(ROWS($1:83)&gt;COUNT(Dong2),"",OFFSET(TH!C$1,SMALL(Dong2,ROWS($1:83)),))</f>
        <v/>
      </c>
      <c r="B94" s="698" t="str">
        <f ca="1">IF(ROWS($1:83)&gt;COUNT(Dong2),"",OFFSET(TH!D$1,SMALL(Dong2,ROWS($1:83)),))</f>
        <v/>
      </c>
      <c r="C94" s="698" t="str">
        <f ca="1">IF(ROWS($1:83)&gt;COUNT(Dong2),"",OFFSET(TH!E$1,SMALL(Dong2,ROWS($1:83)),))</f>
        <v/>
      </c>
      <c r="D94" s="699" t="str">
        <f ca="1">IF(ROWS($1:83)&gt;COUNT(Dong2),"",OFFSET(TH!F$1,SMALL(Dong2,ROWS($1:83)),))</f>
        <v/>
      </c>
      <c r="E94" s="698" t="str">
        <f ca="1">IF(ROWS($1:83)&gt;COUNT(Dong2),"",IF(OFFSET(TH!M$1,SMALL(Dong2,ROWS($1:83)),)=$I$6,OFFSET(TH!L$1,SMALL(Dong2,ROWS($1:83)),),OFFSET(TH!M$1,SMALL(Dong2,ROWS($1:83)),)))</f>
        <v/>
      </c>
      <c r="F94" s="7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7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701">
        <f t="shared" ref="H94" ca="1" si="3">IF(A94&lt;&gt;"",H93+F94-G94,0)</f>
        <v>0</v>
      </c>
      <c r="I94" s="702"/>
    </row>
    <row r="95" spans="1:9" ht="18.75" customHeight="1">
      <c r="A95" s="704"/>
      <c r="B95" s="705"/>
      <c r="C95" s="704"/>
      <c r="D95" s="695" t="s">
        <v>128</v>
      </c>
      <c r="E95" s="706"/>
      <c r="F95" s="696">
        <f ca="1">SUM(F12:F94)</f>
        <v>638553623</v>
      </c>
      <c r="G95" s="696">
        <f ca="1">SUM(G12:G94)</f>
        <v>642783770</v>
      </c>
      <c r="H95" s="696">
        <f ca="1">H11+F95-G95</f>
        <v>16129937</v>
      </c>
      <c r="I95" s="707"/>
    </row>
    <row r="96" spans="1:9" ht="18.75" customHeight="1">
      <c r="A96" s="704"/>
      <c r="B96" s="705"/>
      <c r="C96" s="704"/>
      <c r="D96" s="695" t="s">
        <v>10</v>
      </c>
      <c r="E96" s="706"/>
      <c r="F96" s="708"/>
      <c r="G96" s="708"/>
      <c r="H96" s="696">
        <f ca="1">H95</f>
        <v>16129937</v>
      </c>
      <c r="I96" s="706"/>
    </row>
    <row r="97" spans="1:12" ht="22.5" customHeight="1">
      <c r="A97" s="94" t="s">
        <v>149</v>
      </c>
      <c r="B97" s="709"/>
      <c r="C97" s="99"/>
      <c r="F97" s="601"/>
      <c r="I97" s="108"/>
    </row>
    <row r="98" spans="1:12">
      <c r="A98" s="675" t="str">
        <f ca="1">"- Ngày mở sổ: "&amp;DAY($A$12)&amp;"/"&amp;MONTH($A$12)&amp;"/ " &amp;YEAR($A$12)</f>
        <v>- Ngày mở sổ: 3/10/ 2016</v>
      </c>
      <c r="C98" s="99"/>
      <c r="F98" s="601"/>
      <c r="I98" s="108"/>
    </row>
    <row r="99" spans="1:12">
      <c r="A99" s="103"/>
      <c r="B99" s="100"/>
      <c r="C99" s="710"/>
      <c r="F99" s="601"/>
      <c r="G99" s="96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99"/>
      <c r="B100" s="711" t="s">
        <v>11</v>
      </c>
      <c r="C100" s="99"/>
      <c r="D100" s="711" t="s">
        <v>12</v>
      </c>
      <c r="F100" s="712"/>
      <c r="G100" s="713" t="s">
        <v>104</v>
      </c>
      <c r="H100" s="714"/>
      <c r="I100" s="715"/>
      <c r="J100" s="716"/>
      <c r="K100" s="103"/>
      <c r="L100" s="103"/>
    </row>
    <row r="101" spans="1:12">
      <c r="A101" s="99"/>
      <c r="B101" s="717" t="s">
        <v>13</v>
      </c>
      <c r="C101" s="99"/>
      <c r="D101" s="717" t="s">
        <v>13</v>
      </c>
      <c r="F101" s="718"/>
      <c r="G101" s="639" t="s">
        <v>131</v>
      </c>
      <c r="K101" s="719"/>
      <c r="L101" s="719"/>
    </row>
  </sheetData>
  <autoFilter ref="A10:K98"/>
  <mergeCells count="16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  <mergeCell ref="A2:E3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42" sqref="B42"/>
    </sheetView>
  </sheetViews>
  <sheetFormatPr defaultColWidth="8" defaultRowHeight="14.25"/>
  <cols>
    <col min="1" max="1" width="5" style="720" customWidth="1"/>
    <col min="2" max="2" width="45.28515625" style="720" customWidth="1"/>
    <col min="3" max="4" width="10.7109375" style="720" customWidth="1"/>
    <col min="5" max="6" width="13.85546875" style="720" customWidth="1"/>
    <col min="7" max="7" width="13" style="720" customWidth="1"/>
    <col min="8" max="8" width="9" style="720" customWidth="1"/>
    <col min="9" max="16384" width="8" style="720"/>
  </cols>
  <sheetData>
    <row r="1" spans="1:8">
      <c r="A1" s="380" t="str">
        <f>TH!$A$1</f>
        <v>Đơn vị: CÔNG TY TNHH BAO BÌ GIẤY KIM DUNG PHÁT</v>
      </c>
    </row>
    <row r="2" spans="1:8" ht="15">
      <c r="A2" s="407" t="str">
        <f>TH!$A$2</f>
        <v>Địa chỉ: Ấp Rừng Sến, xã Mỹ Hạnh Bắc, Huyện Đức Hòa, Tỉnh Long An, Việt Nam</v>
      </c>
    </row>
    <row r="3" spans="1:8" ht="33" customHeight="1">
      <c r="A3" s="870" t="s">
        <v>326</v>
      </c>
      <c r="B3" s="870"/>
      <c r="C3" s="870"/>
      <c r="D3" s="870"/>
      <c r="E3" s="870"/>
      <c r="F3" s="870"/>
      <c r="G3" s="870"/>
      <c r="H3" s="870"/>
    </row>
    <row r="4" spans="1:8" s="721" customFormat="1" ht="22.5" customHeight="1">
      <c r="A4" s="871" t="s">
        <v>34</v>
      </c>
      <c r="B4" s="873" t="s">
        <v>35</v>
      </c>
      <c r="C4" s="875" t="s">
        <v>36</v>
      </c>
      <c r="D4" s="876"/>
      <c r="E4" s="875" t="s">
        <v>37</v>
      </c>
      <c r="F4" s="876"/>
      <c r="G4" s="875" t="s">
        <v>40</v>
      </c>
      <c r="H4" s="876"/>
    </row>
    <row r="5" spans="1:8" s="721" customFormat="1" ht="22.5" customHeight="1">
      <c r="A5" s="872"/>
      <c r="B5" s="874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8" s="721" customFormat="1" ht="22.5" customHeight="1">
      <c r="A6" s="723">
        <f t="shared" ref="A6:A42" si="0">IF(B6&lt;&gt;"",ROW()-5,"")</f>
        <v>1</v>
      </c>
      <c r="B6" s="724" t="s">
        <v>615</v>
      </c>
      <c r="C6" s="725"/>
      <c r="D6" s="725"/>
      <c r="E6" s="725">
        <f t="array" ref="E6">SUM(IF("131"&amp;B6=KHN&amp;KH,TH))</f>
        <v>10756570</v>
      </c>
      <c r="F6" s="725">
        <f t="array" ref="F6">SUM(IF("131"&amp;B6=KHC&amp;KH,TH))</f>
        <v>8270680</v>
      </c>
      <c r="G6" s="726">
        <f t="shared" ref="G6:G27" si="1">ROUND(MAX(C6+E6-D6-F6,0),2)</f>
        <v>2485890</v>
      </c>
      <c r="H6" s="726">
        <f t="shared" ref="H6:H27" si="2">ROUND(MAX(D6+F6-C6-E6,0),2)</f>
        <v>0</v>
      </c>
    </row>
    <row r="7" spans="1:8" s="721" customFormat="1" ht="22.5" customHeight="1">
      <c r="A7" s="723">
        <f t="shared" si="0"/>
        <v>2</v>
      </c>
      <c r="B7" s="724" t="s">
        <v>369</v>
      </c>
      <c r="C7" s="725"/>
      <c r="D7" s="725"/>
      <c r="E7" s="725">
        <f t="array" ref="E7">SUM(IF("131"&amp;B7=KHN&amp;KH,TH))</f>
        <v>227902092</v>
      </c>
      <c r="F7" s="725">
        <f t="array" ref="F7">SUM(IF("131"&amp;B7=KHC&amp;KH,TH))</f>
        <v>189896410</v>
      </c>
      <c r="G7" s="726">
        <f t="shared" si="1"/>
        <v>38005682</v>
      </c>
      <c r="H7" s="726">
        <f t="shared" si="2"/>
        <v>0</v>
      </c>
    </row>
    <row r="8" spans="1:8" s="721" customFormat="1" ht="22.5" customHeight="1">
      <c r="A8" s="723">
        <f t="shared" si="0"/>
        <v>3</v>
      </c>
      <c r="B8" s="724" t="s">
        <v>363</v>
      </c>
      <c r="C8" s="725"/>
      <c r="D8" s="725"/>
      <c r="E8" s="725">
        <f t="array" ref="E8">SUM(IF("131"&amp;B8=KHN&amp;KH,TH))</f>
        <v>58190495</v>
      </c>
      <c r="F8" s="725">
        <f t="array" ref="F8">SUM(IF("131"&amp;B8=KHC&amp;KH,TH))</f>
        <v>17681180</v>
      </c>
      <c r="G8" s="726">
        <f t="shared" si="1"/>
        <v>40509315</v>
      </c>
      <c r="H8" s="726">
        <f t="shared" si="2"/>
        <v>0</v>
      </c>
    </row>
    <row r="9" spans="1:8" s="721" customFormat="1" ht="22.5" customHeight="1">
      <c r="A9" s="723">
        <f t="shared" si="0"/>
        <v>4</v>
      </c>
      <c r="B9" s="724" t="s">
        <v>372</v>
      </c>
      <c r="C9" s="725"/>
      <c r="D9" s="725"/>
      <c r="E9" s="725">
        <f t="array" ref="E9">SUM(IF("131"&amp;B9=KHN&amp;KH,TH))</f>
        <v>12569920</v>
      </c>
      <c r="F9" s="725">
        <f t="array" ref="F9">SUM(IF("131"&amp;B9=KHC&amp;KH,TH))</f>
        <v>12569920</v>
      </c>
      <c r="G9" s="726">
        <f t="shared" si="1"/>
        <v>0</v>
      </c>
      <c r="H9" s="726">
        <f t="shared" si="2"/>
        <v>0</v>
      </c>
    </row>
    <row r="10" spans="1:8" s="721" customFormat="1" ht="22.5" customHeight="1">
      <c r="A10" s="723">
        <f t="shared" si="0"/>
        <v>5</v>
      </c>
      <c r="B10" s="724" t="s">
        <v>367</v>
      </c>
      <c r="C10" s="725"/>
      <c r="D10" s="725"/>
      <c r="E10" s="725">
        <f t="array" ref="E10">SUM(IF("131"&amp;B10=KHN&amp;KH,TH))</f>
        <v>81035035</v>
      </c>
      <c r="F10" s="725">
        <f t="array" ref="F10">SUM(IF("131"&amp;B10=KHC&amp;KH,TH))</f>
        <v>65079192</v>
      </c>
      <c r="G10" s="726">
        <f t="shared" si="1"/>
        <v>15955843</v>
      </c>
      <c r="H10" s="726">
        <f t="shared" si="2"/>
        <v>0</v>
      </c>
    </row>
    <row r="11" spans="1:8" s="721" customFormat="1" ht="22.5" customHeight="1">
      <c r="A11" s="723">
        <f t="shared" si="0"/>
        <v>6</v>
      </c>
      <c r="B11" s="724" t="s">
        <v>366</v>
      </c>
      <c r="C11" s="725"/>
      <c r="D11" s="725"/>
      <c r="E11" s="725">
        <f t="array" ref="E11">SUM(IF("131"&amp;B11=KHN&amp;KH,TH))</f>
        <v>12160500</v>
      </c>
      <c r="F11" s="725">
        <f t="array" ref="F11">SUM(IF("131"&amp;B11=KHC&amp;KH,TH))</f>
        <v>12160500</v>
      </c>
      <c r="G11" s="726">
        <f t="shared" si="1"/>
        <v>0</v>
      </c>
      <c r="H11" s="726">
        <f t="shared" si="2"/>
        <v>0</v>
      </c>
    </row>
    <row r="12" spans="1:8" s="721" customFormat="1" ht="22.5" customHeight="1">
      <c r="A12" s="723">
        <f t="shared" si="0"/>
        <v>7</v>
      </c>
      <c r="B12" s="724" t="s">
        <v>365</v>
      </c>
      <c r="C12" s="725"/>
      <c r="D12" s="725"/>
      <c r="E12" s="725">
        <f t="array" ref="E12">SUM(IF("131"&amp;B12=KHN&amp;KH,TH))</f>
        <v>122508320</v>
      </c>
      <c r="F12" s="725">
        <f t="array" ref="F12">SUM(IF("131"&amp;B12=KHC&amp;KH,TH))</f>
        <v>89892000</v>
      </c>
      <c r="G12" s="726">
        <f t="shared" si="1"/>
        <v>32616320</v>
      </c>
      <c r="H12" s="726">
        <f t="shared" si="2"/>
        <v>0</v>
      </c>
    </row>
    <row r="13" spans="1:8" s="721" customFormat="1" ht="22.5" customHeight="1">
      <c r="A13" s="723">
        <f t="shared" si="0"/>
        <v>8</v>
      </c>
      <c r="B13" s="724" t="s">
        <v>370</v>
      </c>
      <c r="C13" s="725"/>
      <c r="D13" s="725"/>
      <c r="E13" s="725">
        <f t="array" ref="E13">SUM(IF("131"&amp;B13=KHN&amp;KH,TH))</f>
        <v>60836600</v>
      </c>
      <c r="F13" s="725">
        <f t="array" ref="F13">SUM(IF("131"&amp;B13=KHC&amp;KH,TH))</f>
        <v>60836600</v>
      </c>
      <c r="G13" s="726">
        <f t="shared" si="1"/>
        <v>0</v>
      </c>
      <c r="H13" s="726">
        <f t="shared" si="2"/>
        <v>0</v>
      </c>
    </row>
    <row r="14" spans="1:8" s="721" customFormat="1" ht="22.5" customHeight="1">
      <c r="A14" s="723">
        <f t="shared" si="0"/>
        <v>9</v>
      </c>
      <c r="B14" s="724" t="s">
        <v>504</v>
      </c>
      <c r="C14" s="725"/>
      <c r="D14" s="725"/>
      <c r="E14" s="725">
        <f t="array" ref="E14">SUM(IF("131"&amp;B14=KHN&amp;KH,TH))</f>
        <v>2486000</v>
      </c>
      <c r="F14" s="725">
        <f t="array" ref="F14">SUM(IF("131"&amp;B14=KHC&amp;KH,TH))</f>
        <v>2486000</v>
      </c>
      <c r="G14" s="726">
        <f t="shared" si="1"/>
        <v>0</v>
      </c>
      <c r="H14" s="726">
        <f t="shared" si="2"/>
        <v>0</v>
      </c>
    </row>
    <row r="15" spans="1:8" s="721" customFormat="1" ht="22.5" customHeight="1">
      <c r="A15" s="723">
        <f t="shared" si="0"/>
        <v>10</v>
      </c>
      <c r="B15" s="724" t="s">
        <v>616</v>
      </c>
      <c r="C15" s="725"/>
      <c r="D15" s="725"/>
      <c r="E15" s="725">
        <f t="array" ref="E15">SUM(IF("131"&amp;B15=KHN&amp;KH,TH))</f>
        <v>31987175</v>
      </c>
      <c r="F15" s="725">
        <f t="array" ref="F15">SUM(IF("131"&amp;B15=KHC&amp;KH,TH))</f>
        <v>24112825</v>
      </c>
      <c r="G15" s="726">
        <f t="shared" si="1"/>
        <v>7874350</v>
      </c>
      <c r="H15" s="726">
        <f t="shared" si="2"/>
        <v>0</v>
      </c>
    </row>
    <row r="16" spans="1:8" s="721" customFormat="1" ht="22.5" customHeight="1">
      <c r="A16" s="723">
        <f t="shared" si="0"/>
        <v>11</v>
      </c>
      <c r="B16" s="727" t="s">
        <v>493</v>
      </c>
      <c r="C16" s="725"/>
      <c r="D16" s="725"/>
      <c r="E16" s="725">
        <f t="array" ref="E16">SUM(IF("131"&amp;B16=KHN&amp;KH,TH))</f>
        <v>1754474</v>
      </c>
      <c r="F16" s="725">
        <f t="array" ref="F16">SUM(IF("131"&amp;B16=KHC&amp;KH,TH))</f>
        <v>1754474</v>
      </c>
      <c r="G16" s="726">
        <f t="shared" si="1"/>
        <v>0</v>
      </c>
      <c r="H16" s="726">
        <f t="shared" si="2"/>
        <v>0</v>
      </c>
    </row>
    <row r="17" spans="1:8" s="721" customFormat="1" ht="22.5" customHeight="1">
      <c r="A17" s="723">
        <f t="shared" si="0"/>
        <v>12</v>
      </c>
      <c r="B17" s="728" t="s">
        <v>542</v>
      </c>
      <c r="C17" s="725"/>
      <c r="D17" s="725"/>
      <c r="E17" s="725">
        <f t="array" ref="E17">SUM(IF("131"&amp;B17=KHN&amp;KH,TH))</f>
        <v>104148000</v>
      </c>
      <c r="F17" s="725">
        <f t="array" ref="F17">SUM(IF("131"&amp;B17=KHC&amp;KH,TH))</f>
        <v>104148000</v>
      </c>
      <c r="G17" s="726">
        <f t="shared" si="1"/>
        <v>0</v>
      </c>
      <c r="H17" s="726">
        <f t="shared" si="2"/>
        <v>0</v>
      </c>
    </row>
    <row r="18" spans="1:8" s="721" customFormat="1" ht="22.5" customHeight="1">
      <c r="A18" s="723">
        <f t="shared" si="0"/>
        <v>13</v>
      </c>
      <c r="B18" s="724" t="s">
        <v>364</v>
      </c>
      <c r="C18" s="725"/>
      <c r="D18" s="725"/>
      <c r="E18" s="725">
        <f t="array" ref="E18">SUM(IF("131"&amp;B18=KHN&amp;KH,TH))</f>
        <v>44756030</v>
      </c>
      <c r="F18" s="725">
        <f t="array" ref="F18">SUM(IF("131"&amp;B18=KHC&amp;KH,TH))</f>
        <v>37163830</v>
      </c>
      <c r="G18" s="726">
        <f t="shared" si="1"/>
        <v>7592200</v>
      </c>
      <c r="H18" s="726">
        <f t="shared" si="2"/>
        <v>0</v>
      </c>
    </row>
    <row r="19" spans="1:8" s="721" customFormat="1" ht="22.5" customHeight="1">
      <c r="A19" s="723">
        <f t="shared" si="0"/>
        <v>14</v>
      </c>
      <c r="B19" s="728" t="s">
        <v>614</v>
      </c>
      <c r="C19" s="725"/>
      <c r="D19" s="725"/>
      <c r="E19" s="725">
        <f t="array" ref="E19">SUM(IF("131"&amp;B19=KHN&amp;KH,TH))</f>
        <v>12281500</v>
      </c>
      <c r="F19" s="725">
        <f t="array" ref="F19">SUM(IF("131"&amp;B19=KHC&amp;KH,TH))</f>
        <v>5929000</v>
      </c>
      <c r="G19" s="726">
        <f t="shared" si="1"/>
        <v>6352500</v>
      </c>
      <c r="H19" s="726">
        <f t="shared" si="2"/>
        <v>0</v>
      </c>
    </row>
    <row r="20" spans="1:8" s="721" customFormat="1" ht="22.5" customHeight="1">
      <c r="A20" s="723">
        <f t="shared" si="0"/>
        <v>15</v>
      </c>
      <c r="B20" s="728" t="s">
        <v>523</v>
      </c>
      <c r="C20" s="725"/>
      <c r="D20" s="725"/>
      <c r="E20" s="725">
        <f t="array" ref="E20">SUM(IF("131"&amp;B20=KHN&amp;KH,TH))</f>
        <v>30625892</v>
      </c>
      <c r="F20" s="725">
        <f t="array" ref="F20">SUM(IF("131"&amp;B20=KHC&amp;KH,TH))</f>
        <v>30625892</v>
      </c>
      <c r="G20" s="726">
        <f t="shared" si="1"/>
        <v>0</v>
      </c>
      <c r="H20" s="726">
        <f t="shared" si="2"/>
        <v>0</v>
      </c>
    </row>
    <row r="21" spans="1:8" s="721" customFormat="1" ht="22.5" customHeight="1">
      <c r="A21" s="723">
        <f t="shared" si="0"/>
        <v>16</v>
      </c>
      <c r="B21" s="724" t="s">
        <v>618</v>
      </c>
      <c r="C21" s="725"/>
      <c r="D21" s="725"/>
      <c r="E21" s="725">
        <f t="array" ref="E21">SUM(IF("131"&amp;B21=KHN&amp;KH,TH))</f>
        <v>12640100</v>
      </c>
      <c r="F21" s="725">
        <f t="array" ref="F21">SUM(IF("131"&amp;B21=KHC&amp;KH,TH))</f>
        <v>12640100</v>
      </c>
      <c r="G21" s="726">
        <f t="shared" si="1"/>
        <v>0</v>
      </c>
      <c r="H21" s="726">
        <f t="shared" si="2"/>
        <v>0</v>
      </c>
    </row>
    <row r="22" spans="1:8" s="721" customFormat="1" ht="22.5" customHeight="1">
      <c r="A22" s="723">
        <f t="shared" si="0"/>
        <v>17</v>
      </c>
      <c r="B22" s="724" t="s">
        <v>549</v>
      </c>
      <c r="C22" s="725"/>
      <c r="D22" s="725"/>
      <c r="E22" s="725">
        <f t="array" ref="E22">SUM(IF("131"&amp;B22=KHN&amp;KH,TH))</f>
        <v>8100840</v>
      </c>
      <c r="F22" s="725">
        <f t="array" ref="F22">SUM(IF("131"&amp;B22=KHC&amp;KH,TH))</f>
        <v>8100840</v>
      </c>
      <c r="G22" s="726">
        <f t="shared" si="1"/>
        <v>0</v>
      </c>
      <c r="H22" s="726">
        <f t="shared" si="2"/>
        <v>0</v>
      </c>
    </row>
    <row r="23" spans="1:8" s="721" customFormat="1" ht="22.5" customHeight="1">
      <c r="A23" s="723">
        <f t="shared" si="0"/>
        <v>18</v>
      </c>
      <c r="B23" s="728" t="s">
        <v>619</v>
      </c>
      <c r="C23" s="725"/>
      <c r="D23" s="725"/>
      <c r="E23" s="725">
        <f t="array" ref="E23">SUM(IF("131"&amp;B23=KHN&amp;KH,TH))</f>
        <v>2970000</v>
      </c>
      <c r="F23" s="725">
        <f t="array" ref="F23">SUM(IF("131"&amp;B23=KHC&amp;KH,TH))</f>
        <v>2970000</v>
      </c>
      <c r="G23" s="726">
        <f t="shared" si="1"/>
        <v>0</v>
      </c>
      <c r="H23" s="726">
        <f t="shared" si="2"/>
        <v>0</v>
      </c>
    </row>
    <row r="24" spans="1:8" s="721" customFormat="1" ht="22.5" customHeight="1">
      <c r="A24" s="723">
        <f t="shared" si="0"/>
        <v>19</v>
      </c>
      <c r="B24" s="724" t="s">
        <v>620</v>
      </c>
      <c r="C24" s="725"/>
      <c r="D24" s="725"/>
      <c r="E24" s="725">
        <f t="array" ref="E24">SUM(IF("131"&amp;B24=KHN&amp;KH,TH))</f>
        <v>22867790</v>
      </c>
      <c r="F24" s="725">
        <f t="array" ref="F24">SUM(IF("131"&amp;B24=KHC&amp;KH,TH))</f>
        <v>22867790</v>
      </c>
      <c r="G24" s="726">
        <f t="shared" si="1"/>
        <v>0</v>
      </c>
      <c r="H24" s="726">
        <f t="shared" si="2"/>
        <v>0</v>
      </c>
    </row>
    <row r="25" spans="1:8" s="721" customFormat="1" ht="22.5" customHeight="1">
      <c r="A25" s="723">
        <f t="shared" si="0"/>
        <v>20</v>
      </c>
      <c r="B25" s="724" t="s">
        <v>621</v>
      </c>
      <c r="C25" s="725"/>
      <c r="D25" s="725"/>
      <c r="E25" s="725">
        <f t="array" ref="E25">SUM(IF("131"&amp;B25=KHN&amp;KH,TH))</f>
        <v>9237800</v>
      </c>
      <c r="F25" s="725">
        <f t="array" ref="F25">SUM(IF("131"&amp;B25=KHC&amp;KH,TH))</f>
        <v>9237800</v>
      </c>
      <c r="G25" s="726">
        <f t="shared" si="1"/>
        <v>0</v>
      </c>
      <c r="H25" s="726">
        <f t="shared" si="2"/>
        <v>0</v>
      </c>
    </row>
    <row r="26" spans="1:8" s="721" customFormat="1" ht="22.5" customHeight="1">
      <c r="A26" s="723">
        <f t="shared" si="0"/>
        <v>21</v>
      </c>
      <c r="B26" s="724" t="s">
        <v>371</v>
      </c>
      <c r="C26" s="725"/>
      <c r="D26" s="725"/>
      <c r="E26" s="725">
        <f t="array" ref="E26">SUM(IF("131"&amp;B26=KHN&amp;KH,TH))</f>
        <v>19338000</v>
      </c>
      <c r="F26" s="725">
        <f t="array" ref="F26">SUM(IF("131"&amp;B26=KHC&amp;KH,TH))</f>
        <v>19338000</v>
      </c>
      <c r="G26" s="726">
        <f t="shared" si="1"/>
        <v>0</v>
      </c>
      <c r="H26" s="726">
        <f t="shared" si="2"/>
        <v>0</v>
      </c>
    </row>
    <row r="27" spans="1:8" s="721" customFormat="1" ht="22.5" customHeight="1">
      <c r="A27" s="723">
        <f t="shared" si="0"/>
        <v>22</v>
      </c>
      <c r="B27" s="724" t="s">
        <v>617</v>
      </c>
      <c r="C27" s="725"/>
      <c r="D27" s="725"/>
      <c r="E27" s="725">
        <f t="array" ref="E27">SUM(IF("131"&amp;B27=KHN&amp;KH,TH))</f>
        <v>5236000</v>
      </c>
      <c r="F27" s="725">
        <f t="array" ref="F27">SUM(IF("131"&amp;B27=KHC&amp;KH,TH))</f>
        <v>5236000</v>
      </c>
      <c r="G27" s="726">
        <f t="shared" si="1"/>
        <v>0</v>
      </c>
      <c r="H27" s="726">
        <f t="shared" si="2"/>
        <v>0</v>
      </c>
    </row>
    <row r="28" spans="1:8" s="721" customFormat="1" ht="22.5" customHeight="1">
      <c r="A28" s="723">
        <f t="shared" si="0"/>
        <v>23</v>
      </c>
      <c r="B28" s="728" t="s">
        <v>681</v>
      </c>
      <c r="C28" s="725"/>
      <c r="D28" s="725"/>
      <c r="E28" s="725">
        <f t="array" ref="E28">SUM(IF("131"&amp;B28=KHN&amp;KH,TH))</f>
        <v>329035740</v>
      </c>
      <c r="F28" s="725">
        <f t="array" ref="F28">SUM(IF("131"&amp;B28=KHC&amp;KH,TH))</f>
        <v>175296000</v>
      </c>
      <c r="G28" s="726">
        <f t="shared" ref="G28:G31" si="3">ROUND(MAX(C28+E28-D28-F28,0),2)</f>
        <v>153739740</v>
      </c>
      <c r="H28" s="726">
        <f t="shared" ref="H28:H31" si="4">ROUND(MAX(D28+F28-C28-E28,0),2)</f>
        <v>0</v>
      </c>
    </row>
    <row r="29" spans="1:8" s="721" customFormat="1" ht="22.5" customHeight="1">
      <c r="A29" s="723">
        <f t="shared" si="0"/>
        <v>24</v>
      </c>
      <c r="B29" s="729" t="s">
        <v>821</v>
      </c>
      <c r="C29" s="725"/>
      <c r="D29" s="725"/>
      <c r="E29" s="725">
        <f t="array" ref="E29">SUM(IF("131"&amp;B29=KHN&amp;KH,TH))</f>
        <v>13877600</v>
      </c>
      <c r="F29" s="725">
        <f t="array" ref="F29">SUM(IF("131"&amp;B29=KHC&amp;KH,TH))</f>
        <v>13877600</v>
      </c>
      <c r="G29" s="726">
        <f t="shared" si="3"/>
        <v>0</v>
      </c>
      <c r="H29" s="726">
        <f t="shared" si="4"/>
        <v>0</v>
      </c>
    </row>
    <row r="30" spans="1:8" s="721" customFormat="1" ht="22.5" customHeight="1">
      <c r="A30" s="723">
        <f t="shared" si="0"/>
        <v>25</v>
      </c>
      <c r="B30" s="728" t="s">
        <v>688</v>
      </c>
      <c r="C30" s="725"/>
      <c r="D30" s="725"/>
      <c r="E30" s="725">
        <f t="array" ref="E30">SUM(IF("131"&amp;B30=KHN&amp;KH,TH))</f>
        <v>38466230</v>
      </c>
      <c r="F30" s="725">
        <f t="array" ref="F30">SUM(IF("131"&amp;B30=KHC&amp;KH,TH))</f>
        <v>19463510</v>
      </c>
      <c r="G30" s="726">
        <f t="shared" si="3"/>
        <v>19002720</v>
      </c>
      <c r="H30" s="726">
        <f t="shared" si="4"/>
        <v>0</v>
      </c>
    </row>
    <row r="31" spans="1:8" s="721" customFormat="1" ht="22.5" customHeight="1">
      <c r="A31" s="723">
        <f t="shared" si="0"/>
        <v>26</v>
      </c>
      <c r="B31" s="724" t="s">
        <v>812</v>
      </c>
      <c r="C31" s="725"/>
      <c r="D31" s="725"/>
      <c r="E31" s="725">
        <f t="array" ref="E31">SUM(IF("131"&amp;B31=KHN&amp;KH,TH))</f>
        <v>488167350</v>
      </c>
      <c r="F31" s="725">
        <f t="array" ref="F31">SUM(IF("131"&amp;B31=KHC&amp;KH,TH))</f>
        <v>488167350</v>
      </c>
      <c r="G31" s="726">
        <f t="shared" si="3"/>
        <v>0</v>
      </c>
      <c r="H31" s="726">
        <f t="shared" si="4"/>
        <v>0</v>
      </c>
    </row>
    <row r="32" spans="1:8" s="721" customFormat="1" ht="22.5" customHeight="1">
      <c r="A32" s="723">
        <f t="shared" si="0"/>
        <v>27</v>
      </c>
      <c r="B32" s="724" t="s">
        <v>829</v>
      </c>
      <c r="C32" s="725"/>
      <c r="D32" s="725"/>
      <c r="E32" s="725">
        <f t="array" ref="E32">SUM(IF("131"&amp;B32=KHN&amp;KH,TH))</f>
        <v>15576000</v>
      </c>
      <c r="F32" s="725">
        <f t="array" ref="F32">SUM(IF("131"&amp;B32=KHC&amp;KH,TH))</f>
        <v>15576000</v>
      </c>
      <c r="G32" s="726">
        <f t="shared" ref="G32:G37" si="5">ROUND(MAX(C32+E32-D32-F32,0),2)</f>
        <v>0</v>
      </c>
      <c r="H32" s="726">
        <f t="shared" ref="H32:H37" si="6">ROUND(MAX(D32+F32-C32-E32,0),2)</f>
        <v>0</v>
      </c>
    </row>
    <row r="33" spans="1:8" s="721" customFormat="1" ht="22.5" customHeight="1">
      <c r="A33" s="723">
        <f t="shared" si="0"/>
        <v>28</v>
      </c>
      <c r="B33" s="724" t="s">
        <v>833</v>
      </c>
      <c r="C33" s="725"/>
      <c r="D33" s="725"/>
      <c r="E33" s="725">
        <f t="array" ref="E33">SUM(IF("131"&amp;B33=KHN&amp;KH,TH))</f>
        <v>4913700</v>
      </c>
      <c r="F33" s="725">
        <f t="array" ref="F33">SUM(IF("131"&amp;B33=KHC&amp;KH,TH))</f>
        <v>0</v>
      </c>
      <c r="G33" s="726">
        <f t="shared" si="5"/>
        <v>4913700</v>
      </c>
      <c r="H33" s="726">
        <f t="shared" si="6"/>
        <v>0</v>
      </c>
    </row>
    <row r="34" spans="1:8" s="721" customFormat="1" ht="22.5" customHeight="1">
      <c r="A34" s="723">
        <f t="shared" si="0"/>
        <v>29</v>
      </c>
      <c r="B34" s="724" t="s">
        <v>844</v>
      </c>
      <c r="C34" s="725"/>
      <c r="D34" s="725"/>
      <c r="E34" s="725">
        <f t="array" ref="E34">SUM(IF("131"&amp;B34=KHN&amp;KH,TH))</f>
        <v>41245518</v>
      </c>
      <c r="F34" s="725">
        <f t="array" ref="F34">SUM(IF("131"&amp;B34=KHC&amp;KH,TH))</f>
        <v>14794287</v>
      </c>
      <c r="G34" s="726">
        <f t="shared" si="5"/>
        <v>26451231</v>
      </c>
      <c r="H34" s="726">
        <f t="shared" si="6"/>
        <v>0</v>
      </c>
    </row>
    <row r="35" spans="1:8" s="721" customFormat="1" ht="22.5" customHeight="1">
      <c r="A35" s="723">
        <f t="shared" si="0"/>
        <v>30</v>
      </c>
      <c r="B35" s="724" t="s">
        <v>892</v>
      </c>
      <c r="C35" s="725"/>
      <c r="D35" s="725"/>
      <c r="E35" s="725">
        <f t="array" ref="E35">SUM(IF("131"&amp;B35=KHN&amp;KH,TH))</f>
        <v>9494100</v>
      </c>
      <c r="F35" s="725">
        <f t="array" ref="F35">SUM(IF("131"&amp;B35=KHC&amp;KH,TH))</f>
        <v>9494100</v>
      </c>
      <c r="G35" s="726">
        <f t="shared" si="5"/>
        <v>0</v>
      </c>
      <c r="H35" s="726">
        <f t="shared" si="6"/>
        <v>0</v>
      </c>
    </row>
    <row r="36" spans="1:8" s="721" customFormat="1" ht="22.5" customHeight="1">
      <c r="A36" s="723">
        <f t="shared" si="0"/>
        <v>31</v>
      </c>
      <c r="B36" s="729" t="s">
        <v>896</v>
      </c>
      <c r="C36" s="725"/>
      <c r="D36" s="725"/>
      <c r="E36" s="725">
        <f t="array" ref="E36">SUM(IF("131"&amp;B36=KHN&amp;KH,TH))</f>
        <v>3146220</v>
      </c>
      <c r="F36" s="725">
        <f t="array" ref="F36">SUM(IF("131"&amp;B36=KHC&amp;KH,TH))</f>
        <v>0</v>
      </c>
      <c r="G36" s="726">
        <f t="shared" si="5"/>
        <v>3146220</v>
      </c>
      <c r="H36" s="726">
        <f t="shared" si="6"/>
        <v>0</v>
      </c>
    </row>
    <row r="37" spans="1:8" s="721" customFormat="1" ht="22.5" customHeight="1">
      <c r="A37" s="723">
        <f t="shared" si="0"/>
        <v>32</v>
      </c>
      <c r="B37" s="724" t="s">
        <v>919</v>
      </c>
      <c r="C37" s="725"/>
      <c r="D37" s="725"/>
      <c r="E37" s="725">
        <f t="array" ref="E37">SUM(IF("131"&amp;B37=KHN&amp;KH,TH))</f>
        <v>11416900</v>
      </c>
      <c r="F37" s="725">
        <f t="array" ref="F37">SUM(IF("131"&amp;B37=KHC&amp;KH,TH))</f>
        <v>0</v>
      </c>
      <c r="G37" s="726">
        <f t="shared" si="5"/>
        <v>11416900</v>
      </c>
      <c r="H37" s="726">
        <f t="shared" si="6"/>
        <v>0</v>
      </c>
    </row>
    <row r="38" spans="1:8" s="721" customFormat="1" ht="22.5" customHeight="1">
      <c r="A38" s="723">
        <f t="shared" si="0"/>
        <v>33</v>
      </c>
      <c r="B38" s="724" t="s">
        <v>933</v>
      </c>
      <c r="C38" s="725"/>
      <c r="D38" s="725"/>
      <c r="E38" s="725">
        <f t="array" ref="E38">SUM(IF("131"&amp;B38=KHN&amp;KH,TH))</f>
        <v>3217500</v>
      </c>
      <c r="F38" s="725">
        <f t="array" ref="F38">SUM(IF("131"&amp;B38=KHC&amp;KH,TH))</f>
        <v>0</v>
      </c>
      <c r="G38" s="726">
        <f t="shared" ref="G38:G40" si="7">ROUND(MAX(C38+E38-D38-F38,0),2)</f>
        <v>3217500</v>
      </c>
      <c r="H38" s="726">
        <f t="shared" ref="H38:H40" si="8">ROUND(MAX(D38+F38-C38-E38,0),2)</f>
        <v>0</v>
      </c>
    </row>
    <row r="39" spans="1:8" s="721" customFormat="1" ht="22.5" customHeight="1">
      <c r="A39" s="723">
        <f t="shared" si="0"/>
        <v>34</v>
      </c>
      <c r="B39" s="724" t="s">
        <v>956</v>
      </c>
      <c r="C39" s="725"/>
      <c r="D39" s="725"/>
      <c r="E39" s="725">
        <f t="array" ref="E39">SUM(IF("131"&amp;B39=KHN&amp;KH,TH))</f>
        <v>15123108</v>
      </c>
      <c r="F39" s="725">
        <f t="array" ref="F39">SUM(IF("131"&amp;B39=KHC&amp;KH,TH))</f>
        <v>15123108</v>
      </c>
      <c r="G39" s="726">
        <f t="shared" si="7"/>
        <v>0</v>
      </c>
      <c r="H39" s="726">
        <f t="shared" si="8"/>
        <v>0</v>
      </c>
    </row>
    <row r="40" spans="1:8" s="721" customFormat="1" ht="22.5" customHeight="1">
      <c r="A40" s="723">
        <f t="shared" si="0"/>
        <v>35</v>
      </c>
      <c r="B40" s="724" t="s">
        <v>960</v>
      </c>
      <c r="C40" s="725"/>
      <c r="D40" s="725"/>
      <c r="E40" s="725">
        <f t="array" ref="E40">SUM(IF("131"&amp;B40=KHN&amp;KH,TH))</f>
        <v>2895200</v>
      </c>
      <c r="F40" s="725">
        <f t="array" ref="F40">SUM(IF("131"&amp;B40=KHC&amp;KH,TH))</f>
        <v>0</v>
      </c>
      <c r="G40" s="726">
        <f t="shared" si="7"/>
        <v>2895200</v>
      </c>
      <c r="H40" s="726">
        <f t="shared" si="8"/>
        <v>0</v>
      </c>
    </row>
    <row r="41" spans="1:8" s="721" customFormat="1" ht="22.5" customHeight="1">
      <c r="A41" s="723">
        <f t="shared" ref="A41" si="9">IF(B41&lt;&gt;"",ROW()-5,"")</f>
        <v>36</v>
      </c>
      <c r="B41" s="724" t="s">
        <v>1082</v>
      </c>
      <c r="C41" s="725"/>
      <c r="D41" s="725"/>
      <c r="E41" s="725">
        <f t="array" ref="E41">SUM(IF("131"&amp;B41=KHN&amp;KH,TH))</f>
        <v>37112086</v>
      </c>
      <c r="F41" s="725">
        <f t="array" ref="F41">SUM(IF("131"&amp;B41=KHC&amp;KH,TH))</f>
        <v>0</v>
      </c>
      <c r="G41" s="726">
        <f t="shared" ref="G41" si="10">ROUND(MAX(C41+E41-D41-F41,0),2)</f>
        <v>37112086</v>
      </c>
      <c r="H41" s="726">
        <f t="shared" ref="H41" si="11">ROUND(MAX(D41+F41-C41-E41,0),2)</f>
        <v>0</v>
      </c>
    </row>
    <row r="42" spans="1:8" s="721" customFormat="1" ht="22.5" customHeight="1">
      <c r="A42" s="723" t="str">
        <f t="shared" si="0"/>
        <v/>
      </c>
      <c r="B42" s="730"/>
      <c r="C42" s="725"/>
      <c r="D42" s="725"/>
      <c r="E42" s="725"/>
      <c r="F42" s="725"/>
      <c r="G42" s="726"/>
      <c r="H42" s="726"/>
    </row>
    <row r="43" spans="1:8" s="734" customFormat="1" ht="22.5" customHeight="1">
      <c r="A43" s="731"/>
      <c r="B43" s="732" t="s">
        <v>38</v>
      </c>
      <c r="C43" s="733">
        <f t="shared" ref="C43:H43" si="12">SUM(C6:C42)</f>
        <v>0</v>
      </c>
      <c r="D43" s="733">
        <f t="shared" si="12"/>
        <v>0</v>
      </c>
      <c r="E43" s="733">
        <f t="shared" si="12"/>
        <v>1908076385</v>
      </c>
      <c r="F43" s="733">
        <f t="shared" si="12"/>
        <v>1494788988</v>
      </c>
      <c r="G43" s="733">
        <f t="shared" si="12"/>
        <v>413287397</v>
      </c>
      <c r="H43" s="733">
        <f t="shared" si="12"/>
        <v>0</v>
      </c>
    </row>
    <row r="44" spans="1:8">
      <c r="D44" s="735">
        <f>D43-CDPS!C15</f>
        <v>0</v>
      </c>
      <c r="E44" s="736">
        <f>E43-CDPS!E14</f>
        <v>0</v>
      </c>
      <c r="F44" s="736">
        <f>F43-CDPS!F14</f>
        <v>0</v>
      </c>
      <c r="G44" s="735">
        <f>G43-CDPS!G14-H43</f>
        <v>0</v>
      </c>
    </row>
    <row r="45" spans="1:8" ht="15">
      <c r="E45" s="736"/>
      <c r="F45" s="869" t="str">
        <f>"Ngày 31 tháng  12  năm  "&amp;YEAR(TH!$C$10)</f>
        <v>Ngày 31 tháng  12  năm  2016</v>
      </c>
      <c r="G45" s="869"/>
      <c r="H45" s="869"/>
    </row>
    <row r="46" spans="1:8" ht="15">
      <c r="F46" s="869" t="s">
        <v>104</v>
      </c>
      <c r="G46" s="869"/>
      <c r="H46" s="869"/>
    </row>
    <row r="47" spans="1:8" ht="15">
      <c r="E47" s="735"/>
      <c r="F47" s="869" t="s">
        <v>131</v>
      </c>
      <c r="G47" s="869"/>
      <c r="H47" s="869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748" customWidth="1"/>
    <col min="2" max="2" width="7.85546875" style="748" customWidth="1"/>
    <col min="3" max="3" width="9.140625" style="748" customWidth="1"/>
    <col min="4" max="4" width="33.28515625" style="748" customWidth="1"/>
    <col min="5" max="5" width="6.85546875" style="748" customWidth="1"/>
    <col min="6" max="9" width="13.7109375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9" t="s">
        <v>45</v>
      </c>
      <c r="H1" s="839"/>
      <c r="I1" s="839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</row>
    <row r="3" spans="1:9" s="293" customFormat="1" ht="14.25" customHeight="1">
      <c r="A3" s="403"/>
      <c r="B3" s="640"/>
      <c r="C3" s="640"/>
      <c r="F3" s="6"/>
      <c r="G3" s="840"/>
      <c r="H3" s="840"/>
      <c r="I3" s="840"/>
    </row>
    <row r="4" spans="1:9" s="3" customFormat="1" ht="28.5" customHeight="1">
      <c r="A4" s="841" t="s">
        <v>26</v>
      </c>
      <c r="B4" s="841"/>
      <c r="C4" s="841"/>
      <c r="D4" s="841"/>
      <c r="E4" s="841"/>
      <c r="F4" s="841"/>
      <c r="G4" s="841"/>
      <c r="H4" s="841"/>
      <c r="I4" s="841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329</v>
      </c>
    </row>
    <row r="7" spans="1:9" s="3" customFormat="1" ht="15.75" customHeight="1">
      <c r="D7" s="106" t="s">
        <v>44</v>
      </c>
      <c r="E7" s="880" t="s">
        <v>367</v>
      </c>
      <c r="F7" s="880"/>
      <c r="G7" s="880"/>
      <c r="H7" s="880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5"/>
      <c r="D9" s="845"/>
      <c r="E9" s="845"/>
      <c r="F9" s="845"/>
      <c r="G9" s="845"/>
      <c r="H9" s="845"/>
      <c r="I9" s="845"/>
    </row>
    <row r="10" spans="1:9" s="3" customFormat="1" ht="20.25" customHeight="1">
      <c r="A10" s="846" t="s">
        <v>20</v>
      </c>
      <c r="B10" s="877" t="s">
        <v>1</v>
      </c>
      <c r="C10" s="877"/>
      <c r="D10" s="846" t="s">
        <v>0</v>
      </c>
      <c r="E10" s="846" t="s">
        <v>14</v>
      </c>
      <c r="F10" s="878" t="s">
        <v>21</v>
      </c>
      <c r="G10" s="879"/>
      <c r="H10" s="878" t="s">
        <v>30</v>
      </c>
      <c r="I10" s="879"/>
    </row>
    <row r="11" spans="1:9" s="3" customFormat="1" ht="30.75" customHeight="1">
      <c r="A11" s="846"/>
      <c r="B11" s="737" t="s">
        <v>15</v>
      </c>
      <c r="C11" s="737" t="s">
        <v>31</v>
      </c>
      <c r="D11" s="846"/>
      <c r="E11" s="846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VLOOKUP($E$7,'131'!$B$6:$H$42,2,0)</f>
        <v>0</v>
      </c>
      <c r="I13" s="519">
        <f>VLOOKUP($E$7,'131'!$B$6:$H$42,3,0)</f>
        <v>0</v>
      </c>
    </row>
    <row r="14" spans="1:9" s="3" customFormat="1" ht="18" customHeight="1">
      <c r="A14" s="740">
        <f ca="1">IF(ROWS($1:1)&gt;COUNT(Dong14),"",OFFSET(TH!C$1,SMALL(Dong14,ROWS($1:1)),))</f>
        <v>42566</v>
      </c>
      <c r="B14" s="740" t="str">
        <f ca="1">IF(ROWS($1:1)&gt;COUNT(Dong14),"",OFFSET(TH!D$1,SMALL(Dong14,ROWS($1:1)),))</f>
        <v>TP/X02</v>
      </c>
      <c r="C14" s="740">
        <f ca="1">IF(ROWS($1:1)&gt;COUNT(Dong14),"",OFFSET(TH!E$1,SMALL(Dong14,ROWS($1:1)),))</f>
        <v>42566</v>
      </c>
      <c r="D14" s="741" t="str">
        <f ca="1">IF(ROWS($1:1)&gt;COUNT(Dong14),"",OFFSET(TH!F$1,SMALL(Dong14,ROWS($1:1)),))</f>
        <v>Thùng carton (117x87x5)</v>
      </c>
      <c r="E14" s="742" t="str">
        <f ca="1">IF(ROWS($1:1)&gt;COUNT(Dong14),"",IF(OFFSET(TH!L$1,SMALL(Dong14,ROWS($1:1)),)="331",OFFSET(TH!M$1,SMALL(Dong14,ROWS($1:1)),),OFFSET(TH!L$1,SMALL(Dong14,ROWS($1:1)),)))</f>
        <v>131</v>
      </c>
      <c r="F14" s="743">
        <f ca="1">IF(ROWS($1:1)&gt;COUNT(Dong14),"",IF(OFFSET(TH!L$1,SMALL(Dong14,ROWS($1:1)),)="131",OFFSET(TH!K$1,SMALL(Dong14,ROWS($1:1)),),0))</f>
        <v>1000000</v>
      </c>
      <c r="G14" s="743">
        <f ca="1">IF(ROWS($1:1)&gt;COUNT(Dong14),"",IF(OFFSET(TH!M$1,SMALL(Dong14,ROWS($1:1)),)="131",OFFSET(TH!K$1,SMALL(Dong14,ROWS($1:1)),),0))</f>
        <v>0</v>
      </c>
      <c r="H14" s="744">
        <f t="shared" ref="H14:H60" ca="1" si="0">IF(D14&lt;&gt;"",MAX(H13+F14-G14-I13,0),0)</f>
        <v>1000000</v>
      </c>
      <c r="I14" s="744">
        <f t="shared" ref="I14:I60" ca="1" si="1">IF(D14&lt;&gt;"",MAX(I13+G14-H13-F14,0),0)</f>
        <v>0</v>
      </c>
    </row>
    <row r="15" spans="1:9" s="3" customFormat="1" ht="18" customHeight="1">
      <c r="A15" s="740">
        <f ca="1">IF(ROWS($1:2)&gt;COUNT(Dong14),"",OFFSET(TH!C$1,SMALL(Dong14,ROWS($1:2)),))</f>
        <v>42566</v>
      </c>
      <c r="B15" s="740" t="str">
        <f ca="1">IF(ROWS($1:2)&gt;COUNT(Dong14),"",OFFSET(TH!D$1,SMALL(Dong14,ROWS($1:2)),))</f>
        <v>TP/X02</v>
      </c>
      <c r="C15" s="740">
        <f ca="1">IF(ROWS($1:2)&gt;COUNT(Dong14),"",OFFSET(TH!E$1,SMALL(Dong14,ROWS($1:2)),))</f>
        <v>42566</v>
      </c>
      <c r="D15" s="741" t="str">
        <f ca="1">IF(ROWS($1:2)&gt;COUNT(Dong14),"",OFFSET(TH!F$1,SMALL(Dong14,ROWS($1:2)),))</f>
        <v>Thùng carton (103x54x180)</v>
      </c>
      <c r="E15" s="742" t="str">
        <f ca="1">IF(ROWS($1:2)&gt;COUNT(Dong14),"",IF(OFFSET(TH!L$1,SMALL(Dong14,ROWS($1:2)),)="331",OFFSET(TH!M$1,SMALL(Dong14,ROWS($1:2)),),OFFSET(TH!L$1,SMALL(Dong14,ROWS($1:2)),)))</f>
        <v>131</v>
      </c>
      <c r="F15" s="743">
        <f ca="1">IF(ROWS($1:2)&gt;COUNT(Dong14),"",IF(OFFSET(TH!L$1,SMALL(Dong14,ROWS($1:2)),)="131",OFFSET(TH!K$1,SMALL(Dong14,ROWS($1:2)),),0))</f>
        <v>8479600</v>
      </c>
      <c r="G15" s="743">
        <f ca="1">IF(ROWS($1:2)&gt;COUNT(Dong14),"",IF(OFFSET(TH!M$1,SMALL(Dong14,ROWS($1:2)),)="131",OFFSET(TH!K$1,SMALL(Dong14,ROWS($1:2)),),0))</f>
        <v>0</v>
      </c>
      <c r="H15" s="744">
        <f t="shared" ca="1" si="0"/>
        <v>9479600</v>
      </c>
      <c r="I15" s="744">
        <f t="shared" ca="1" si="1"/>
        <v>0</v>
      </c>
    </row>
    <row r="16" spans="1:9" s="3" customFormat="1" ht="18" customHeight="1">
      <c r="A16" s="740">
        <f ca="1">IF(ROWS($1:3)&gt;COUNT(Dong14),"",OFFSET(TH!C$1,SMALL(Dong14,ROWS($1:3)),))</f>
        <v>42566</v>
      </c>
      <c r="B16" s="740" t="str">
        <f ca="1">IF(ROWS($1:3)&gt;COUNT(Dong14),"",OFFSET(TH!D$1,SMALL(Dong14,ROWS($1:3)),))</f>
        <v>TP/X02</v>
      </c>
      <c r="C16" s="740">
        <f ca="1">IF(ROWS($1:3)&gt;COUNT(Dong14),"",OFFSET(TH!E$1,SMALL(Dong14,ROWS($1:3)),))</f>
        <v>42566</v>
      </c>
      <c r="D16" s="741" t="str">
        <f ca="1">IF(ROWS($1:3)&gt;COUNT(Dong14),"",OFFSET(TH!F$1,SMALL(Dong14,ROWS($1:3)),))</f>
        <v>VAT Thùng carton</v>
      </c>
      <c r="E16" s="742" t="str">
        <f ca="1">IF(ROWS($1:3)&gt;COUNT(Dong14),"",IF(OFFSET(TH!L$1,SMALL(Dong14,ROWS($1:3)),)="331",OFFSET(TH!M$1,SMALL(Dong14,ROWS($1:3)),),OFFSET(TH!L$1,SMALL(Dong14,ROWS($1:3)),)))</f>
        <v>131</v>
      </c>
      <c r="F16" s="743">
        <f ca="1">IF(ROWS($1:3)&gt;COUNT(Dong14),"",IF(OFFSET(TH!L$1,SMALL(Dong14,ROWS($1:3)),)="131",OFFSET(TH!K$1,SMALL(Dong14,ROWS($1:3)),),0))</f>
        <v>947960</v>
      </c>
      <c r="G16" s="743">
        <f ca="1">IF(ROWS($1:3)&gt;COUNT(Dong14),"",IF(OFFSET(TH!M$1,SMALL(Dong14,ROWS($1:3)),)="131",OFFSET(TH!K$1,SMALL(Dong14,ROWS($1:3)),),0))</f>
        <v>0</v>
      </c>
      <c r="H16" s="744">
        <f t="shared" ca="1" si="0"/>
        <v>10427560</v>
      </c>
      <c r="I16" s="744">
        <f t="shared" ca="1" si="1"/>
        <v>0</v>
      </c>
    </row>
    <row r="17" spans="1:9" s="3" customFormat="1" ht="18" customHeight="1">
      <c r="A17" s="740">
        <f ca="1">IF(ROWS($1:4)&gt;COUNT(Dong14),"",OFFSET(TH!C$1,SMALL(Dong14,ROWS($1:4)),))</f>
        <v>42566</v>
      </c>
      <c r="B17" s="740" t="str">
        <f ca="1">IF(ROWS($1:4)&gt;COUNT(Dong14),"",OFFSET(TH!D$1,SMALL(Dong14,ROWS($1:4)),))</f>
        <v>T03</v>
      </c>
      <c r="C17" s="740">
        <f ca="1">IF(ROWS($1:4)&gt;COUNT(Dong14),"",OFFSET(TH!E$1,SMALL(Dong14,ROWS($1:4)),))</f>
        <v>42566</v>
      </c>
      <c r="D17" s="741" t="str">
        <f ca="1">IF(ROWS($1:4)&gt;COUNT(Dong14),"",OFFSET(TH!F$1,SMALL(Dong14,ROWS($1:4)),))</f>
        <v>Thu tiền hàng</v>
      </c>
      <c r="E17" s="742" t="str">
        <f ca="1">IF(ROWS($1:4)&gt;COUNT(Dong14),"",IF(OFFSET(TH!L$1,SMALL(Dong14,ROWS($1:4)),)="331",OFFSET(TH!M$1,SMALL(Dong14,ROWS($1:4)),),OFFSET(TH!L$1,SMALL(Dong14,ROWS($1:4)),)))</f>
        <v>1111</v>
      </c>
      <c r="F17" s="743">
        <f ca="1">IF(ROWS($1:4)&gt;COUNT(Dong14),"",IF(OFFSET(TH!L$1,SMALL(Dong14,ROWS($1:4)),)="131",OFFSET(TH!K$1,SMALL(Dong14,ROWS($1:4)),),0))</f>
        <v>0</v>
      </c>
      <c r="G17" s="743">
        <f ca="1">IF(ROWS($1:4)&gt;COUNT(Dong14),"",IF(OFFSET(TH!M$1,SMALL(Dong14,ROWS($1:4)),)="131",OFFSET(TH!K$1,SMALL(Dong14,ROWS($1:4)),),0))</f>
        <v>10427560</v>
      </c>
      <c r="H17" s="744">
        <f t="shared" ca="1" si="0"/>
        <v>0</v>
      </c>
      <c r="I17" s="744">
        <f t="shared" ca="1" si="1"/>
        <v>0</v>
      </c>
    </row>
    <row r="18" spans="1:9" s="3" customFormat="1" ht="18" customHeight="1">
      <c r="A18" s="740">
        <f ca="1">IF(ROWS($1:5)&gt;COUNT(Dong14),"",OFFSET(TH!C$1,SMALL(Dong14,ROWS($1:5)),))</f>
        <v>42597</v>
      </c>
      <c r="B18" s="740" t="str">
        <f ca="1">IF(ROWS($1:5)&gt;COUNT(Dong14),"",OFFSET(TH!D$1,SMALL(Dong14,ROWS($1:5)),))</f>
        <v>TP/X28</v>
      </c>
      <c r="C18" s="740">
        <f ca="1">IF(ROWS($1:5)&gt;COUNT(Dong14),"",OFFSET(TH!E$1,SMALL(Dong14,ROWS($1:5)),))</f>
        <v>42597</v>
      </c>
      <c r="D18" s="741" t="str">
        <f ca="1">IF(ROWS($1:5)&gt;COUNT(Dong14),"",OFFSET(TH!F$1,SMALL(Dong14,ROWS($1:5)),))</f>
        <v>Thùng carton (103x50x180)</v>
      </c>
      <c r="E18" s="742" t="str">
        <f ca="1">IF(ROWS($1:5)&gt;COUNT(Dong14),"",IF(OFFSET(TH!L$1,SMALL(Dong14,ROWS($1:5)),)="331",OFFSET(TH!M$1,SMALL(Dong14,ROWS($1:5)),),OFFSET(TH!L$1,SMALL(Dong14,ROWS($1:5)),)))</f>
        <v>131</v>
      </c>
      <c r="F18" s="743">
        <f ca="1">IF(ROWS($1:5)&gt;COUNT(Dong14),"",IF(OFFSET(TH!L$1,SMALL(Dong14,ROWS($1:5)),)="131",OFFSET(TH!K$1,SMALL(Dong14,ROWS($1:5)),),0))</f>
        <v>6168370</v>
      </c>
      <c r="G18" s="743">
        <f ca="1">IF(ROWS($1:5)&gt;COUNT(Dong14),"",IF(OFFSET(TH!M$1,SMALL(Dong14,ROWS($1:5)),)="131",OFFSET(TH!K$1,SMALL(Dong14,ROWS($1:5)),),0))</f>
        <v>0</v>
      </c>
      <c r="H18" s="744">
        <f t="shared" ca="1" si="0"/>
        <v>6168370</v>
      </c>
      <c r="I18" s="744">
        <f t="shared" ca="1" si="1"/>
        <v>0</v>
      </c>
    </row>
    <row r="19" spans="1:9" s="3" customFormat="1" ht="18" customHeight="1">
      <c r="A19" s="740">
        <f ca="1">IF(ROWS($1:6)&gt;COUNT(Dong14),"",OFFSET(TH!C$1,SMALL(Dong14,ROWS($1:6)),))</f>
        <v>42597</v>
      </c>
      <c r="B19" s="740" t="str">
        <f ca="1">IF(ROWS($1:6)&gt;COUNT(Dong14),"",OFFSET(TH!D$1,SMALL(Dong14,ROWS($1:6)),))</f>
        <v>TP/X28</v>
      </c>
      <c r="C19" s="740">
        <f ca="1">IF(ROWS($1:6)&gt;COUNT(Dong14),"",OFFSET(TH!E$1,SMALL(Dong14,ROWS($1:6)),))</f>
        <v>42597</v>
      </c>
      <c r="D19" s="741" t="str">
        <f ca="1">IF(ROWS($1:6)&gt;COUNT(Dong14),"",OFFSET(TH!F$1,SMALL(Dong14,ROWS($1:6)),))</f>
        <v>VAT Thùng carton</v>
      </c>
      <c r="E19" s="742" t="str">
        <f ca="1">IF(ROWS($1:6)&gt;COUNT(Dong14),"",IF(OFFSET(TH!L$1,SMALL(Dong14,ROWS($1:6)),)="331",OFFSET(TH!M$1,SMALL(Dong14,ROWS($1:6)),),OFFSET(TH!L$1,SMALL(Dong14,ROWS($1:6)),)))</f>
        <v>131</v>
      </c>
      <c r="F19" s="743">
        <f ca="1">IF(ROWS($1:6)&gt;COUNT(Dong14),"",IF(OFFSET(TH!L$1,SMALL(Dong14,ROWS($1:6)),)="131",OFFSET(TH!K$1,SMALL(Dong14,ROWS($1:6)),),0))</f>
        <v>616837</v>
      </c>
      <c r="G19" s="743">
        <f ca="1">IF(ROWS($1:6)&gt;COUNT(Dong14),"",IF(OFFSET(TH!M$1,SMALL(Dong14,ROWS($1:6)),)="131",OFFSET(TH!K$1,SMALL(Dong14,ROWS($1:6)),),0))</f>
        <v>0</v>
      </c>
      <c r="H19" s="744">
        <f t="shared" ca="1" si="0"/>
        <v>6785207</v>
      </c>
      <c r="I19" s="744">
        <f t="shared" ca="1" si="1"/>
        <v>0</v>
      </c>
    </row>
    <row r="20" spans="1:9" s="3" customFormat="1" ht="18" customHeight="1">
      <c r="A20" s="740">
        <f ca="1">IF(ROWS($1:7)&gt;COUNT(Dong14),"",OFFSET(TH!C$1,SMALL(Dong14,ROWS($1:7)),))</f>
        <v>42597</v>
      </c>
      <c r="B20" s="740" t="str">
        <f ca="1">IF(ROWS($1:7)&gt;COUNT(Dong14),"",OFFSET(TH!D$1,SMALL(Dong14,ROWS($1:7)),))</f>
        <v>T12</v>
      </c>
      <c r="C20" s="740">
        <f ca="1">IF(ROWS($1:7)&gt;COUNT(Dong14),"",OFFSET(TH!E$1,SMALL(Dong14,ROWS($1:7)),))</f>
        <v>42597</v>
      </c>
      <c r="D20" s="741" t="str">
        <f ca="1">IF(ROWS($1:7)&gt;COUNT(Dong14),"",OFFSET(TH!F$1,SMALL(Dong14,ROWS($1:7)),))</f>
        <v>Thu tiền hàng</v>
      </c>
      <c r="E20" s="742" t="str">
        <f ca="1">IF(ROWS($1:7)&gt;COUNT(Dong14),"",IF(OFFSET(TH!L$1,SMALL(Dong14,ROWS($1:7)),)="331",OFFSET(TH!M$1,SMALL(Dong14,ROWS($1:7)),),OFFSET(TH!L$1,SMALL(Dong14,ROWS($1:7)),)))</f>
        <v>1111</v>
      </c>
      <c r="F20" s="743">
        <f ca="1">IF(ROWS($1:7)&gt;COUNT(Dong14),"",IF(OFFSET(TH!L$1,SMALL(Dong14,ROWS($1:7)),)="131",OFFSET(TH!K$1,SMALL(Dong14,ROWS($1:7)),),0))</f>
        <v>0</v>
      </c>
      <c r="G20" s="743">
        <f ca="1">IF(ROWS($1:7)&gt;COUNT(Dong14),"",IF(OFFSET(TH!M$1,SMALL(Dong14,ROWS($1:7)),)="131",OFFSET(TH!K$1,SMALL(Dong14,ROWS($1:7)),),0))</f>
        <v>6785207</v>
      </c>
      <c r="H20" s="744">
        <f t="shared" ca="1" si="0"/>
        <v>0</v>
      </c>
      <c r="I20" s="744">
        <f t="shared" ca="1" si="1"/>
        <v>0</v>
      </c>
    </row>
    <row r="21" spans="1:9" s="3" customFormat="1" ht="18" customHeight="1">
      <c r="A21" s="740">
        <f ca="1">IF(ROWS($1:8)&gt;COUNT(Dong14),"",OFFSET(TH!C$1,SMALL(Dong14,ROWS($1:8)),))</f>
        <v>42605</v>
      </c>
      <c r="B21" s="740" t="str">
        <f ca="1">IF(ROWS($1:8)&gt;COUNT(Dong14),"",OFFSET(TH!D$1,SMALL(Dong14,ROWS($1:8)),))</f>
        <v>TP/X33</v>
      </c>
      <c r="C21" s="740">
        <f ca="1">IF(ROWS($1:8)&gt;COUNT(Dong14),"",OFFSET(TH!E$1,SMALL(Dong14,ROWS($1:8)),))</f>
        <v>42605</v>
      </c>
      <c r="D21" s="741" t="str">
        <f ca="1">IF(ROWS($1:8)&gt;COUNT(Dong14),"",OFFSET(TH!F$1,SMALL(Dong14,ROWS($1:8)),))</f>
        <v>Thùng carton (47x47x52)</v>
      </c>
      <c r="E21" s="742" t="str">
        <f ca="1">IF(ROWS($1:8)&gt;COUNT(Dong14),"",IF(OFFSET(TH!L$1,SMALL(Dong14,ROWS($1:8)),)="331",OFFSET(TH!M$1,SMALL(Dong14,ROWS($1:8)),),OFFSET(TH!L$1,SMALL(Dong14,ROWS($1:8)),)))</f>
        <v>131</v>
      </c>
      <c r="F21" s="743">
        <f ca="1">IF(ROWS($1:8)&gt;COUNT(Dong14),"",IF(OFFSET(TH!L$1,SMALL(Dong14,ROWS($1:8)),)="131",OFFSET(TH!K$1,SMALL(Dong14,ROWS($1:8)),),0))</f>
        <v>932060</v>
      </c>
      <c r="G21" s="743">
        <f ca="1">IF(ROWS($1:8)&gt;COUNT(Dong14),"",IF(OFFSET(TH!M$1,SMALL(Dong14,ROWS($1:8)),)="131",OFFSET(TH!K$1,SMALL(Dong14,ROWS($1:8)),),0))</f>
        <v>0</v>
      </c>
      <c r="H21" s="744">
        <f t="shared" ca="1" si="0"/>
        <v>932060</v>
      </c>
      <c r="I21" s="744">
        <f t="shared" ca="1" si="1"/>
        <v>0</v>
      </c>
    </row>
    <row r="22" spans="1:9" s="3" customFormat="1" ht="18" customHeight="1">
      <c r="A22" s="740">
        <f ca="1">IF(ROWS($1:9)&gt;COUNT(Dong14),"",OFFSET(TH!C$1,SMALL(Dong14,ROWS($1:9)),))</f>
        <v>42605</v>
      </c>
      <c r="B22" s="740" t="str">
        <f ca="1">IF(ROWS($1:9)&gt;COUNT(Dong14),"",OFFSET(TH!D$1,SMALL(Dong14,ROWS($1:9)),))</f>
        <v>TP/X33</v>
      </c>
      <c r="C22" s="740">
        <f ca="1">IF(ROWS($1:9)&gt;COUNT(Dong14),"",OFFSET(TH!E$1,SMALL(Dong14,ROWS($1:9)),))</f>
        <v>42605</v>
      </c>
      <c r="D22" s="741" t="str">
        <f ca="1">IF(ROWS($1:9)&gt;COUNT(Dong14),"",OFFSET(TH!F$1,SMALL(Dong14,ROWS($1:9)),))</f>
        <v>Thùng carton (103x54x180)</v>
      </c>
      <c r="E22" s="742" t="str">
        <f ca="1">IF(ROWS($1:9)&gt;COUNT(Dong14),"",IF(OFFSET(TH!L$1,SMALL(Dong14,ROWS($1:9)),)="331",OFFSET(TH!M$1,SMALL(Dong14,ROWS($1:9)),),OFFSET(TH!L$1,SMALL(Dong14,ROWS($1:9)),)))</f>
        <v>131</v>
      </c>
      <c r="F22" s="743">
        <f ca="1">IF(ROWS($1:9)&gt;COUNT(Dong14),"",IF(OFFSET(TH!L$1,SMALL(Dong14,ROWS($1:9)),)="131",OFFSET(TH!K$1,SMALL(Dong14,ROWS($1:9)),),0))</f>
        <v>4093600</v>
      </c>
      <c r="G22" s="743">
        <f ca="1">IF(ROWS($1:9)&gt;COUNT(Dong14),"",IF(OFFSET(TH!M$1,SMALL(Dong14,ROWS($1:9)),)="131",OFFSET(TH!K$1,SMALL(Dong14,ROWS($1:9)),),0))</f>
        <v>0</v>
      </c>
      <c r="H22" s="744">
        <f t="shared" ca="1" si="0"/>
        <v>5025660</v>
      </c>
      <c r="I22" s="744">
        <f t="shared" ca="1" si="1"/>
        <v>0</v>
      </c>
    </row>
    <row r="23" spans="1:9" s="3" customFormat="1" ht="18" customHeight="1">
      <c r="A23" s="740">
        <f ca="1">IF(ROWS($1:10)&gt;COUNT(Dong14),"",OFFSET(TH!C$1,SMALL(Dong14,ROWS($1:10)),))</f>
        <v>42605</v>
      </c>
      <c r="B23" s="740" t="str">
        <f ca="1">IF(ROWS($1:10)&gt;COUNT(Dong14),"",OFFSET(TH!D$1,SMALL(Dong14,ROWS($1:10)),))</f>
        <v>TP/X33</v>
      </c>
      <c r="C23" s="740">
        <f ca="1">IF(ROWS($1:10)&gt;COUNT(Dong14),"",OFFSET(TH!E$1,SMALL(Dong14,ROWS($1:10)),))</f>
        <v>42605</v>
      </c>
      <c r="D23" s="741" t="str">
        <f ca="1">IF(ROWS($1:10)&gt;COUNT(Dong14),"",OFFSET(TH!F$1,SMALL(Dong14,ROWS($1:10)),))</f>
        <v>VAT Thùng carton</v>
      </c>
      <c r="E23" s="742" t="str">
        <f ca="1">IF(ROWS($1:10)&gt;COUNT(Dong14),"",IF(OFFSET(TH!L$1,SMALL(Dong14,ROWS($1:10)),)="331",OFFSET(TH!M$1,SMALL(Dong14,ROWS($1:10)),),OFFSET(TH!L$1,SMALL(Dong14,ROWS($1:10)),)))</f>
        <v>131</v>
      </c>
      <c r="F23" s="743">
        <f ca="1">IF(ROWS($1:10)&gt;COUNT(Dong14),"",IF(OFFSET(TH!L$1,SMALL(Dong14,ROWS($1:10)),)="131",OFFSET(TH!K$1,SMALL(Dong14,ROWS($1:10)),),0))</f>
        <v>502566</v>
      </c>
      <c r="G23" s="743">
        <f ca="1">IF(ROWS($1:10)&gt;COUNT(Dong14),"",IF(OFFSET(TH!M$1,SMALL(Dong14,ROWS($1:10)),)="131",OFFSET(TH!K$1,SMALL(Dong14,ROWS($1:10)),),0))</f>
        <v>0</v>
      </c>
      <c r="H23" s="744">
        <f t="shared" ca="1" si="0"/>
        <v>5528226</v>
      </c>
      <c r="I23" s="744">
        <f t="shared" ca="1" si="1"/>
        <v>0</v>
      </c>
    </row>
    <row r="24" spans="1:9" s="3" customFormat="1" ht="18" customHeight="1">
      <c r="A24" s="740">
        <f ca="1">IF(ROWS($1:11)&gt;COUNT(Dong14),"",OFFSET(TH!C$1,SMALL(Dong14,ROWS($1:11)),))</f>
        <v>42605</v>
      </c>
      <c r="B24" s="740" t="str">
        <f ca="1">IF(ROWS($1:11)&gt;COUNT(Dong14),"",OFFSET(TH!D$1,SMALL(Dong14,ROWS($1:11)),))</f>
        <v>T17</v>
      </c>
      <c r="C24" s="740">
        <f ca="1">IF(ROWS($1:11)&gt;COUNT(Dong14),"",OFFSET(TH!E$1,SMALL(Dong14,ROWS($1:11)),))</f>
        <v>42605</v>
      </c>
      <c r="D24" s="741" t="str">
        <f ca="1">IF(ROWS($1:11)&gt;COUNT(Dong14),"",OFFSET(TH!F$1,SMALL(Dong14,ROWS($1:11)),))</f>
        <v>Thu tiền hàng</v>
      </c>
      <c r="E24" s="742" t="str">
        <f ca="1">IF(ROWS($1:11)&gt;COUNT(Dong14),"",IF(OFFSET(TH!L$1,SMALL(Dong14,ROWS($1:11)),)="331",OFFSET(TH!M$1,SMALL(Dong14,ROWS($1:11)),),OFFSET(TH!L$1,SMALL(Dong14,ROWS($1:11)),)))</f>
        <v>1111</v>
      </c>
      <c r="F24" s="743">
        <f ca="1">IF(ROWS($1:11)&gt;COUNT(Dong14),"",IF(OFFSET(TH!L$1,SMALL(Dong14,ROWS($1:11)),)="131",OFFSET(TH!K$1,SMALL(Dong14,ROWS($1:11)),),0))</f>
        <v>0</v>
      </c>
      <c r="G24" s="743">
        <f ca="1">IF(ROWS($1:11)&gt;COUNT(Dong14),"",IF(OFFSET(TH!M$1,SMALL(Dong14,ROWS($1:11)),)="131",OFFSET(TH!K$1,SMALL(Dong14,ROWS($1:11)),),0))</f>
        <v>5528226</v>
      </c>
      <c r="H24" s="744">
        <f t="shared" ca="1" si="0"/>
        <v>0</v>
      </c>
      <c r="I24" s="744">
        <f t="shared" ca="1" si="1"/>
        <v>0</v>
      </c>
    </row>
    <row r="25" spans="1:9" s="3" customFormat="1" ht="18" customHeight="1">
      <c r="A25" s="740">
        <f ca="1">IF(ROWS($1:12)&gt;COUNT(Dong14),"",OFFSET(TH!C$1,SMALL(Dong14,ROWS($1:12)),))</f>
        <v>42611</v>
      </c>
      <c r="B25" s="740" t="str">
        <f ca="1">IF(ROWS($1:12)&gt;COUNT(Dong14),"",OFFSET(TH!D$1,SMALL(Dong14,ROWS($1:12)),))</f>
        <v>TP/X40</v>
      </c>
      <c r="C25" s="740">
        <f ca="1">IF(ROWS($1:12)&gt;COUNT(Dong14),"",OFFSET(TH!E$1,SMALL(Dong14,ROWS($1:12)),))</f>
        <v>42611</v>
      </c>
      <c r="D25" s="741" t="str">
        <f ca="1">IF(ROWS($1:12)&gt;COUNT(Dong14),"",OFFSET(TH!F$1,SMALL(Dong14,ROWS($1:12)),))</f>
        <v>Thùng carton (103x50x180)</v>
      </c>
      <c r="E25" s="742" t="str">
        <f ca="1">IF(ROWS($1:12)&gt;COUNT(Dong14),"",IF(OFFSET(TH!L$1,SMALL(Dong14,ROWS($1:12)),)="331",OFFSET(TH!M$1,SMALL(Dong14,ROWS($1:12)),),OFFSET(TH!L$1,SMALL(Dong14,ROWS($1:12)),)))</f>
        <v>131</v>
      </c>
      <c r="F25" s="743">
        <f ca="1">IF(ROWS($1:12)&gt;COUNT(Dong14),"",IF(OFFSET(TH!L$1,SMALL(Dong14,ROWS($1:12)),)="131",OFFSET(TH!K$1,SMALL(Dong14,ROWS($1:12)),),0))</f>
        <v>7591840</v>
      </c>
      <c r="G25" s="743">
        <f ca="1">IF(ROWS($1:12)&gt;COUNT(Dong14),"",IF(OFFSET(TH!M$1,SMALL(Dong14,ROWS($1:12)),)="131",OFFSET(TH!K$1,SMALL(Dong14,ROWS($1:12)),),0))</f>
        <v>0</v>
      </c>
      <c r="H25" s="744">
        <f t="shared" ca="1" si="0"/>
        <v>7591840</v>
      </c>
      <c r="I25" s="744">
        <f t="shared" ca="1" si="1"/>
        <v>0</v>
      </c>
    </row>
    <row r="26" spans="1:9" s="3" customFormat="1" ht="18" customHeight="1">
      <c r="A26" s="740">
        <f ca="1">IF(ROWS($1:13)&gt;COUNT(Dong14),"",OFFSET(TH!C$1,SMALL(Dong14,ROWS($1:13)),))</f>
        <v>42611</v>
      </c>
      <c r="B26" s="740" t="str">
        <f ca="1">IF(ROWS($1:13)&gt;COUNT(Dong14),"",OFFSET(TH!D$1,SMALL(Dong14,ROWS($1:13)),))</f>
        <v>TP/X40</v>
      </c>
      <c r="C26" s="740">
        <f ca="1">IF(ROWS($1:13)&gt;COUNT(Dong14),"",OFFSET(TH!E$1,SMALL(Dong14,ROWS($1:13)),))</f>
        <v>42611</v>
      </c>
      <c r="D26" s="741" t="str">
        <f ca="1">IF(ROWS($1:13)&gt;COUNT(Dong14),"",OFFSET(TH!F$1,SMALL(Dong14,ROWS($1:13)),))</f>
        <v>VAT Thùng carton</v>
      </c>
      <c r="E26" s="742" t="str">
        <f ca="1">IF(ROWS($1:13)&gt;COUNT(Dong14),"",IF(OFFSET(TH!L$1,SMALL(Dong14,ROWS($1:13)),)="331",OFFSET(TH!M$1,SMALL(Dong14,ROWS($1:13)),),OFFSET(TH!L$1,SMALL(Dong14,ROWS($1:13)),)))</f>
        <v>131</v>
      </c>
      <c r="F26" s="743">
        <f ca="1">IF(ROWS($1:13)&gt;COUNT(Dong14),"",IF(OFFSET(TH!L$1,SMALL(Dong14,ROWS($1:13)),)="131",OFFSET(TH!K$1,SMALL(Dong14,ROWS($1:13)),),0))</f>
        <v>759184</v>
      </c>
      <c r="G26" s="743">
        <f ca="1">IF(ROWS($1:13)&gt;COUNT(Dong14),"",IF(OFFSET(TH!M$1,SMALL(Dong14,ROWS($1:13)),)="131",OFFSET(TH!K$1,SMALL(Dong14,ROWS($1:13)),),0))</f>
        <v>0</v>
      </c>
      <c r="H26" s="744">
        <f t="shared" ca="1" si="0"/>
        <v>8351024</v>
      </c>
      <c r="I26" s="744">
        <f t="shared" ca="1" si="1"/>
        <v>0</v>
      </c>
    </row>
    <row r="27" spans="1:9" s="3" customFormat="1" ht="18" customHeight="1">
      <c r="A27" s="740">
        <f ca="1">IF(ROWS($1:14)&gt;COUNT(Dong14),"",OFFSET(TH!C$1,SMALL(Dong14,ROWS($1:14)),))</f>
        <v>42611</v>
      </c>
      <c r="B27" s="740" t="str">
        <f ca="1">IF(ROWS($1:14)&gt;COUNT(Dong14),"",OFFSET(TH!D$1,SMALL(Dong14,ROWS($1:14)),))</f>
        <v>T22</v>
      </c>
      <c r="C27" s="740">
        <f ca="1">IF(ROWS($1:14)&gt;COUNT(Dong14),"",OFFSET(TH!E$1,SMALL(Dong14,ROWS($1:14)),))</f>
        <v>42611</v>
      </c>
      <c r="D27" s="741" t="str">
        <f ca="1">IF(ROWS($1:14)&gt;COUNT(Dong14),"",OFFSET(TH!F$1,SMALL(Dong14,ROWS($1:14)),))</f>
        <v>Thu tiền hàng</v>
      </c>
      <c r="E27" s="742" t="str">
        <f ca="1">IF(ROWS($1:14)&gt;COUNT(Dong14),"",IF(OFFSET(TH!L$1,SMALL(Dong14,ROWS($1:14)),)="331",OFFSET(TH!M$1,SMALL(Dong14,ROWS($1:14)),),OFFSET(TH!L$1,SMALL(Dong14,ROWS($1:14)),)))</f>
        <v>1111</v>
      </c>
      <c r="F27" s="743">
        <f ca="1">IF(ROWS($1:14)&gt;COUNT(Dong14),"",IF(OFFSET(TH!L$1,SMALL(Dong14,ROWS($1:14)),)="131",OFFSET(TH!K$1,SMALL(Dong14,ROWS($1:14)),),0))</f>
        <v>0</v>
      </c>
      <c r="G27" s="743">
        <f ca="1">IF(ROWS($1:14)&gt;COUNT(Dong14),"",IF(OFFSET(TH!M$1,SMALL(Dong14,ROWS($1:14)),)="131",OFFSET(TH!K$1,SMALL(Dong14,ROWS($1:14)),),0))</f>
        <v>8351024</v>
      </c>
      <c r="H27" s="744">
        <f t="shared" ca="1" si="0"/>
        <v>0</v>
      </c>
      <c r="I27" s="744">
        <f t="shared" ca="1" si="1"/>
        <v>0</v>
      </c>
    </row>
    <row r="28" spans="1:9" s="3" customFormat="1" ht="18" customHeight="1">
      <c r="A28" s="740">
        <f ca="1">IF(ROWS($1:15)&gt;COUNT(Dong14),"",OFFSET(TH!C$1,SMALL(Dong14,ROWS($1:15)),))</f>
        <v>42620</v>
      </c>
      <c r="B28" s="740" t="str">
        <f ca="1">IF(ROWS($1:15)&gt;COUNT(Dong14),"",OFFSET(TH!D$1,SMALL(Dong14,ROWS($1:15)),))</f>
        <v>TP/X52</v>
      </c>
      <c r="C28" s="740">
        <f ca="1">IF(ROWS($1:15)&gt;COUNT(Dong14),"",OFFSET(TH!E$1,SMALL(Dong14,ROWS($1:15)),))</f>
        <v>42620</v>
      </c>
      <c r="D28" s="741" t="str">
        <f ca="1">IF(ROWS($1:15)&gt;COUNT(Dong14),"",OFFSET(TH!F$1,SMALL(Dong14,ROWS($1:15)),))</f>
        <v>Thùng carton (103x50x180)</v>
      </c>
      <c r="E28" s="742" t="str">
        <f ca="1">IF(ROWS($1:15)&gt;COUNT(Dong14),"",IF(OFFSET(TH!L$1,SMALL(Dong14,ROWS($1:15)),)="331",OFFSET(TH!M$1,SMALL(Dong14,ROWS($1:15)),),OFFSET(TH!L$1,SMALL(Dong14,ROWS($1:15)),)))</f>
        <v>131</v>
      </c>
      <c r="F28" s="743">
        <f ca="1">IF(ROWS($1:15)&gt;COUNT(Dong14),"",IF(OFFSET(TH!L$1,SMALL(Dong14,ROWS($1:15)),)="131",OFFSET(TH!K$1,SMALL(Dong14,ROWS($1:15)),),0))</f>
        <v>2846940</v>
      </c>
      <c r="G28" s="743">
        <f ca="1">IF(ROWS($1:15)&gt;COUNT(Dong14),"",IF(OFFSET(TH!M$1,SMALL(Dong14,ROWS($1:15)),)="131",OFFSET(TH!K$1,SMALL(Dong14,ROWS($1:15)),),0))</f>
        <v>0</v>
      </c>
      <c r="H28" s="744">
        <f t="shared" ca="1" si="0"/>
        <v>2846940</v>
      </c>
      <c r="I28" s="744">
        <f t="shared" ca="1" si="1"/>
        <v>0</v>
      </c>
    </row>
    <row r="29" spans="1:9" s="3" customFormat="1" ht="18" customHeight="1">
      <c r="A29" s="740">
        <f ca="1">IF(ROWS($1:16)&gt;COUNT(Dong14),"",OFFSET(TH!C$1,SMALL(Dong14,ROWS($1:16)),))</f>
        <v>42620</v>
      </c>
      <c r="B29" s="740" t="str">
        <f ca="1">IF(ROWS($1:16)&gt;COUNT(Dong14),"",OFFSET(TH!D$1,SMALL(Dong14,ROWS($1:16)),))</f>
        <v>TP/X52</v>
      </c>
      <c r="C29" s="740">
        <f ca="1">IF(ROWS($1:16)&gt;COUNT(Dong14),"",OFFSET(TH!E$1,SMALL(Dong14,ROWS($1:16)),))</f>
        <v>42620</v>
      </c>
      <c r="D29" s="741" t="str">
        <f ca="1">IF(ROWS($1:16)&gt;COUNT(Dong14),"",OFFSET(TH!F$1,SMALL(Dong14,ROWS($1:16)),))</f>
        <v>Thùng carton (122x54x180)</v>
      </c>
      <c r="E29" s="742" t="str">
        <f ca="1">IF(ROWS($1:16)&gt;COUNT(Dong14),"",IF(OFFSET(TH!L$1,SMALL(Dong14,ROWS($1:16)),)="331",OFFSET(TH!M$1,SMALL(Dong14,ROWS($1:16)),),OFFSET(TH!L$1,SMALL(Dong14,ROWS($1:16)),)))</f>
        <v>131</v>
      </c>
      <c r="F29" s="743">
        <f ca="1">IF(ROWS($1:16)&gt;COUNT(Dong14),"",IF(OFFSET(TH!L$1,SMALL(Dong14,ROWS($1:16)),)="131",OFFSET(TH!K$1,SMALL(Dong14,ROWS($1:16)),),0))</f>
        <v>1090600</v>
      </c>
      <c r="G29" s="743">
        <f ca="1">IF(ROWS($1:16)&gt;COUNT(Dong14),"",IF(OFFSET(TH!M$1,SMALL(Dong14,ROWS($1:16)),)="131",OFFSET(TH!K$1,SMALL(Dong14,ROWS($1:16)),),0))</f>
        <v>0</v>
      </c>
      <c r="H29" s="744">
        <f t="shared" ca="1" si="0"/>
        <v>3937540</v>
      </c>
      <c r="I29" s="744">
        <f t="shared" ca="1" si="1"/>
        <v>0</v>
      </c>
    </row>
    <row r="30" spans="1:9" s="3" customFormat="1" ht="18" customHeight="1">
      <c r="A30" s="740">
        <f ca="1">IF(ROWS($1:17)&gt;COUNT(Dong14),"",OFFSET(TH!C$1,SMALL(Dong14,ROWS($1:17)),))</f>
        <v>42620</v>
      </c>
      <c r="B30" s="740" t="str">
        <f ca="1">IF(ROWS($1:17)&gt;COUNT(Dong14),"",OFFSET(TH!D$1,SMALL(Dong14,ROWS($1:17)),))</f>
        <v>TP/X52</v>
      </c>
      <c r="C30" s="740">
        <f ca="1">IF(ROWS($1:17)&gt;COUNT(Dong14),"",OFFSET(TH!E$1,SMALL(Dong14,ROWS($1:17)),))</f>
        <v>42620</v>
      </c>
      <c r="D30" s="741" t="str">
        <f ca="1">IF(ROWS($1:17)&gt;COUNT(Dong14),"",OFFSET(TH!F$1,SMALL(Dong14,ROWS($1:17)),))</f>
        <v>VAT Thùng carton</v>
      </c>
      <c r="E30" s="742" t="str">
        <f ca="1">IF(ROWS($1:17)&gt;COUNT(Dong14),"",IF(OFFSET(TH!L$1,SMALL(Dong14,ROWS($1:17)),)="331",OFFSET(TH!M$1,SMALL(Dong14,ROWS($1:17)),),OFFSET(TH!L$1,SMALL(Dong14,ROWS($1:17)),)))</f>
        <v>131</v>
      </c>
      <c r="F30" s="743">
        <f ca="1">IF(ROWS($1:17)&gt;COUNT(Dong14),"",IF(OFFSET(TH!L$1,SMALL(Dong14,ROWS($1:17)),)="131",OFFSET(TH!K$1,SMALL(Dong14,ROWS($1:17)),),0))</f>
        <v>393754</v>
      </c>
      <c r="G30" s="743">
        <f ca="1">IF(ROWS($1:17)&gt;COUNT(Dong14),"",IF(OFFSET(TH!M$1,SMALL(Dong14,ROWS($1:17)),)="131",OFFSET(TH!K$1,SMALL(Dong14,ROWS($1:17)),),0))</f>
        <v>0</v>
      </c>
      <c r="H30" s="744">
        <f t="shared" ca="1" si="0"/>
        <v>4331294</v>
      </c>
      <c r="I30" s="744">
        <f t="shared" ca="1" si="1"/>
        <v>0</v>
      </c>
    </row>
    <row r="31" spans="1:9" s="3" customFormat="1" ht="18" customHeight="1">
      <c r="A31" s="740">
        <f ca="1">IF(ROWS($1:18)&gt;COUNT(Dong14),"",OFFSET(TH!C$1,SMALL(Dong14,ROWS($1:18)),))</f>
        <v>42620</v>
      </c>
      <c r="B31" s="740" t="str">
        <f ca="1">IF(ROWS($1:18)&gt;COUNT(Dong14),"",OFFSET(TH!D$1,SMALL(Dong14,ROWS($1:18)),))</f>
        <v>T28</v>
      </c>
      <c r="C31" s="740">
        <f ca="1">IF(ROWS($1:18)&gt;COUNT(Dong14),"",OFFSET(TH!E$1,SMALL(Dong14,ROWS($1:18)),))</f>
        <v>42620</v>
      </c>
      <c r="D31" s="741" t="str">
        <f ca="1">IF(ROWS($1:18)&gt;COUNT(Dong14),"",OFFSET(TH!F$1,SMALL(Dong14,ROWS($1:18)),))</f>
        <v>Thu tiền hàng</v>
      </c>
      <c r="E31" s="742" t="str">
        <f ca="1">IF(ROWS($1:18)&gt;COUNT(Dong14),"",IF(OFFSET(TH!L$1,SMALL(Dong14,ROWS($1:18)),)="331",OFFSET(TH!M$1,SMALL(Dong14,ROWS($1:18)),),OFFSET(TH!L$1,SMALL(Dong14,ROWS($1:18)),)))</f>
        <v>1111</v>
      </c>
      <c r="F31" s="743">
        <f ca="1">IF(ROWS($1:18)&gt;COUNT(Dong14),"",IF(OFFSET(TH!L$1,SMALL(Dong14,ROWS($1:18)),)="131",OFFSET(TH!K$1,SMALL(Dong14,ROWS($1:18)),),0))</f>
        <v>0</v>
      </c>
      <c r="G31" s="743">
        <f ca="1">IF(ROWS($1:18)&gt;COUNT(Dong14),"",IF(OFFSET(TH!M$1,SMALL(Dong14,ROWS($1:18)),)="131",OFFSET(TH!K$1,SMALL(Dong14,ROWS($1:18)),),0))</f>
        <v>4331294</v>
      </c>
      <c r="H31" s="744">
        <f t="shared" ca="1" si="0"/>
        <v>0</v>
      </c>
      <c r="I31" s="744">
        <f t="shared" ca="1" si="1"/>
        <v>0</v>
      </c>
    </row>
    <row r="32" spans="1:9" s="3" customFormat="1" ht="18" customHeight="1">
      <c r="A32" s="740">
        <f ca="1">IF(ROWS($1:19)&gt;COUNT(Dong14),"",OFFSET(TH!C$1,SMALL(Dong14,ROWS($1:19)),))</f>
        <v>42647</v>
      </c>
      <c r="B32" s="740" t="str">
        <f ca="1">IF(ROWS($1:19)&gt;COUNT(Dong14),"",OFFSET(TH!D$1,SMALL(Dong14,ROWS($1:19)),))</f>
        <v>TP/X02</v>
      </c>
      <c r="C32" s="740">
        <f ca="1">IF(ROWS($1:19)&gt;COUNT(Dong14),"",OFFSET(TH!E$1,SMALL(Dong14,ROWS($1:19)),))</f>
        <v>42647</v>
      </c>
      <c r="D32" s="741" t="str">
        <f ca="1">IF(ROWS($1:19)&gt;COUNT(Dong14),"",OFFSET(TH!F$1,SMALL(Dong14,ROWS($1:19)),))</f>
        <v>Thùng carton (48x23x22)</v>
      </c>
      <c r="E32" s="742" t="str">
        <f ca="1">IF(ROWS($1:19)&gt;COUNT(Dong14),"",IF(OFFSET(TH!L$1,SMALL(Dong14,ROWS($1:19)),)="331",OFFSET(TH!M$1,SMALL(Dong14,ROWS($1:19)),),OFFSET(TH!L$1,SMALL(Dong14,ROWS($1:19)),)))</f>
        <v>131</v>
      </c>
      <c r="F32" s="743">
        <f ca="1">IF(ROWS($1:19)&gt;COUNT(Dong14),"",IF(OFFSET(TH!L$1,SMALL(Dong14,ROWS($1:19)),)="131",OFFSET(TH!K$1,SMALL(Dong14,ROWS($1:19)),),0))</f>
        <v>6728305</v>
      </c>
      <c r="G32" s="743">
        <f ca="1">IF(ROWS($1:19)&gt;COUNT(Dong14),"",IF(OFFSET(TH!M$1,SMALL(Dong14,ROWS($1:19)),)="131",OFFSET(TH!K$1,SMALL(Dong14,ROWS($1:19)),),0))</f>
        <v>0</v>
      </c>
      <c r="H32" s="744">
        <f t="shared" ca="1" si="0"/>
        <v>6728305</v>
      </c>
      <c r="I32" s="744">
        <f t="shared" ca="1" si="1"/>
        <v>0</v>
      </c>
    </row>
    <row r="33" spans="1:9" s="3" customFormat="1" ht="18" customHeight="1">
      <c r="A33" s="740">
        <f ca="1">IF(ROWS($1:20)&gt;COUNT(Dong14),"",OFFSET(TH!C$1,SMALL(Dong14,ROWS($1:20)),))</f>
        <v>42647</v>
      </c>
      <c r="B33" s="740" t="str">
        <f ca="1">IF(ROWS($1:20)&gt;COUNT(Dong14),"",OFFSET(TH!D$1,SMALL(Dong14,ROWS($1:20)),))</f>
        <v>TP/X02</v>
      </c>
      <c r="C33" s="740">
        <f ca="1">IF(ROWS($1:20)&gt;COUNT(Dong14),"",OFFSET(TH!E$1,SMALL(Dong14,ROWS($1:20)),))</f>
        <v>42647</v>
      </c>
      <c r="D33" s="741" t="str">
        <f ca="1">IF(ROWS($1:20)&gt;COUNT(Dong14),"",OFFSET(TH!F$1,SMALL(Dong14,ROWS($1:20)),))</f>
        <v>Thùng carton (49x23.5x30.5)</v>
      </c>
      <c r="E33" s="742" t="str">
        <f ca="1">IF(ROWS($1:20)&gt;COUNT(Dong14),"",IF(OFFSET(TH!L$1,SMALL(Dong14,ROWS($1:20)),)="331",OFFSET(TH!M$1,SMALL(Dong14,ROWS($1:20)),),OFFSET(TH!L$1,SMALL(Dong14,ROWS($1:20)),)))</f>
        <v>131</v>
      </c>
      <c r="F33" s="743">
        <f ca="1">IF(ROWS($1:20)&gt;COUNT(Dong14),"",IF(OFFSET(TH!L$1,SMALL(Dong14,ROWS($1:20)),)="131",OFFSET(TH!K$1,SMALL(Dong14,ROWS($1:20)),),0))</f>
        <v>2354130</v>
      </c>
      <c r="G33" s="743">
        <f ca="1">IF(ROWS($1:20)&gt;COUNT(Dong14),"",IF(OFFSET(TH!M$1,SMALL(Dong14,ROWS($1:20)),)="131",OFFSET(TH!K$1,SMALL(Dong14,ROWS($1:20)),),0))</f>
        <v>0</v>
      </c>
      <c r="H33" s="744">
        <f t="shared" ca="1" si="0"/>
        <v>9082435</v>
      </c>
      <c r="I33" s="744">
        <f t="shared" ca="1" si="1"/>
        <v>0</v>
      </c>
    </row>
    <row r="34" spans="1:9" s="3" customFormat="1" ht="18" customHeight="1">
      <c r="A34" s="740">
        <f ca="1">IF(ROWS($1:21)&gt;COUNT(Dong14),"",OFFSET(TH!C$1,SMALL(Dong14,ROWS($1:21)),))</f>
        <v>42647</v>
      </c>
      <c r="B34" s="740" t="str">
        <f ca="1">IF(ROWS($1:21)&gt;COUNT(Dong14),"",OFFSET(TH!D$1,SMALL(Dong14,ROWS($1:21)),))</f>
        <v>TP/X02</v>
      </c>
      <c r="C34" s="740">
        <f ca="1">IF(ROWS($1:21)&gt;COUNT(Dong14),"",OFFSET(TH!E$1,SMALL(Dong14,ROWS($1:21)),))</f>
        <v>42647</v>
      </c>
      <c r="D34" s="741" t="str">
        <f ca="1">IF(ROWS($1:21)&gt;COUNT(Dong14),"",OFFSET(TH!F$1,SMALL(Dong14,ROWS($1:21)),))</f>
        <v>VAT Thùng carton</v>
      </c>
      <c r="E34" s="742" t="str">
        <f ca="1">IF(ROWS($1:21)&gt;COUNT(Dong14),"",IF(OFFSET(TH!L$1,SMALL(Dong14,ROWS($1:21)),)="331",OFFSET(TH!M$1,SMALL(Dong14,ROWS($1:21)),),OFFSET(TH!L$1,SMALL(Dong14,ROWS($1:21)),)))</f>
        <v>131</v>
      </c>
      <c r="F34" s="743">
        <f ca="1">IF(ROWS($1:21)&gt;COUNT(Dong14),"",IF(OFFSET(TH!L$1,SMALL(Dong14,ROWS($1:21)),)="131",OFFSET(TH!K$1,SMALL(Dong14,ROWS($1:21)),),0))</f>
        <v>908243</v>
      </c>
      <c r="G34" s="743">
        <f ca="1">IF(ROWS($1:21)&gt;COUNT(Dong14),"",IF(OFFSET(TH!M$1,SMALL(Dong14,ROWS($1:21)),)="131",OFFSET(TH!K$1,SMALL(Dong14,ROWS($1:21)),),0))</f>
        <v>0</v>
      </c>
      <c r="H34" s="744">
        <f t="shared" ca="1" si="0"/>
        <v>9990678</v>
      </c>
      <c r="I34" s="744">
        <f t="shared" ca="1" si="1"/>
        <v>0</v>
      </c>
    </row>
    <row r="35" spans="1:9" s="3" customFormat="1" ht="18" customHeight="1">
      <c r="A35" s="740">
        <f ca="1">IF(ROWS($1:22)&gt;COUNT(Dong14),"",OFFSET(TH!C$1,SMALL(Dong14,ROWS($1:22)),))</f>
        <v>42647</v>
      </c>
      <c r="B35" s="740" t="str">
        <f ca="1">IF(ROWS($1:22)&gt;COUNT(Dong14),"",OFFSET(TH!D$1,SMALL(Dong14,ROWS($1:22)),))</f>
        <v>T02</v>
      </c>
      <c r="C35" s="740">
        <f ca="1">IF(ROWS($1:22)&gt;COUNT(Dong14),"",OFFSET(TH!E$1,SMALL(Dong14,ROWS($1:22)),))</f>
        <v>42647</v>
      </c>
      <c r="D35" s="741" t="str">
        <f ca="1">IF(ROWS($1:22)&gt;COUNT(Dong14),"",OFFSET(TH!F$1,SMALL(Dong14,ROWS($1:22)),))</f>
        <v>Thu tiền hàng</v>
      </c>
      <c r="E35" s="742" t="str">
        <f ca="1">IF(ROWS($1:22)&gt;COUNT(Dong14),"",IF(OFFSET(TH!L$1,SMALL(Dong14,ROWS($1:22)),)="331",OFFSET(TH!M$1,SMALL(Dong14,ROWS($1:22)),),OFFSET(TH!L$1,SMALL(Dong14,ROWS($1:22)),)))</f>
        <v>1111</v>
      </c>
      <c r="F35" s="743">
        <f ca="1">IF(ROWS($1:22)&gt;COUNT(Dong14),"",IF(OFFSET(TH!L$1,SMALL(Dong14,ROWS($1:22)),)="131",OFFSET(TH!K$1,SMALL(Dong14,ROWS($1:22)),),0))</f>
        <v>0</v>
      </c>
      <c r="G35" s="743">
        <f ca="1">IF(ROWS($1:22)&gt;COUNT(Dong14),"",IF(OFFSET(TH!M$1,SMALL(Dong14,ROWS($1:22)),)="131",OFFSET(TH!K$1,SMALL(Dong14,ROWS($1:22)),),0))</f>
        <v>9990678</v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>
        <f ca="1">IF(ROWS($1:23)&gt;COUNT(Dong14),"",OFFSET(TH!C$1,SMALL(Dong14,ROWS($1:23)),))</f>
        <v>42693</v>
      </c>
      <c r="B36" s="740" t="str">
        <f ca="1">IF(ROWS($1:23)&gt;COUNT(Dong14),"",OFFSET(TH!D$1,SMALL(Dong14,ROWS($1:23)),))</f>
        <v>TP/X16</v>
      </c>
      <c r="C36" s="740">
        <f ca="1">IF(ROWS($1:23)&gt;COUNT(Dong14),"",OFFSET(TH!E$1,SMALL(Dong14,ROWS($1:23)),))</f>
        <v>42693</v>
      </c>
      <c r="D36" s="741" t="str">
        <f ca="1">IF(ROWS($1:23)&gt;COUNT(Dong14),"",OFFSET(TH!F$1,SMALL(Dong14,ROWS($1:23)),))</f>
        <v>Thùng carton (47x47x52)</v>
      </c>
      <c r="E36" s="742" t="str">
        <f ca="1">IF(ROWS($1:23)&gt;COUNT(Dong14),"",IF(OFFSET(TH!L$1,SMALL(Dong14,ROWS($1:23)),)="331",OFFSET(TH!M$1,SMALL(Dong14,ROWS($1:23)),),OFFSET(TH!L$1,SMALL(Dong14,ROWS($1:23)),)))</f>
        <v>131</v>
      </c>
      <c r="F36" s="743">
        <f ca="1">IF(ROWS($1:23)&gt;COUNT(Dong14),"",IF(OFFSET(TH!L$1,SMALL(Dong14,ROWS($1:23)),)="131",OFFSET(TH!K$1,SMALL(Dong14,ROWS($1:23)),),0))</f>
        <v>369610</v>
      </c>
      <c r="G36" s="743">
        <f ca="1">IF(ROWS($1:23)&gt;COUNT(Dong14),"",IF(OFFSET(TH!M$1,SMALL(Dong14,ROWS($1:23)),)="131",OFFSET(TH!K$1,SMALL(Dong14,ROWS($1:23)),),0))</f>
        <v>0</v>
      </c>
      <c r="H36" s="744">
        <f t="shared" ca="1" si="0"/>
        <v>369610</v>
      </c>
      <c r="I36" s="744">
        <f t="shared" ca="1" si="1"/>
        <v>0</v>
      </c>
    </row>
    <row r="37" spans="1:9" s="3" customFormat="1" ht="18" customHeight="1">
      <c r="A37" s="740">
        <f ca="1">IF(ROWS($1:24)&gt;COUNT(Dong14),"",OFFSET(TH!C$1,SMALL(Dong14,ROWS($1:24)),))</f>
        <v>42693</v>
      </c>
      <c r="B37" s="740" t="str">
        <f ca="1">IF(ROWS($1:24)&gt;COUNT(Dong14),"",OFFSET(TH!D$1,SMALL(Dong14,ROWS($1:24)),))</f>
        <v>TP/X16</v>
      </c>
      <c r="C37" s="740">
        <f ca="1">IF(ROWS($1:24)&gt;COUNT(Dong14),"",OFFSET(TH!E$1,SMALL(Dong14,ROWS($1:24)),))</f>
        <v>42693</v>
      </c>
      <c r="D37" s="741" t="str">
        <f ca="1">IF(ROWS($1:24)&gt;COUNT(Dong14),"",OFFSET(TH!F$1,SMALL(Dong14,ROWS($1:24)),))</f>
        <v>Thùng carton (103x54x180)</v>
      </c>
      <c r="E37" s="742" t="str">
        <f ca="1">IF(ROWS($1:24)&gt;COUNT(Dong14),"",IF(OFFSET(TH!L$1,SMALL(Dong14,ROWS($1:24)),)="331",OFFSET(TH!M$1,SMALL(Dong14,ROWS($1:24)),),OFFSET(TH!L$1,SMALL(Dong14,ROWS($1:24)),)))</f>
        <v>131</v>
      </c>
      <c r="F37" s="743">
        <f ca="1">IF(ROWS($1:24)&gt;COUNT(Dong14),"",IF(OFFSET(TH!L$1,SMALL(Dong14,ROWS($1:24)),)="131",OFFSET(TH!K$1,SMALL(Dong14,ROWS($1:24)),),0))</f>
        <v>4742388</v>
      </c>
      <c r="G37" s="743">
        <f ca="1">IF(ROWS($1:24)&gt;COUNT(Dong14),"",IF(OFFSET(TH!M$1,SMALL(Dong14,ROWS($1:24)),)="131",OFFSET(TH!K$1,SMALL(Dong14,ROWS($1:24)),),0))</f>
        <v>0</v>
      </c>
      <c r="H37" s="744">
        <f t="shared" ca="1" si="0"/>
        <v>5111998</v>
      </c>
      <c r="I37" s="744">
        <f t="shared" ca="1" si="1"/>
        <v>0</v>
      </c>
    </row>
    <row r="38" spans="1:9" s="3" customFormat="1" ht="18" customHeight="1">
      <c r="A38" s="740">
        <f ca="1">IF(ROWS($1:25)&gt;COUNT(Dong14),"",OFFSET(TH!C$1,SMALL(Dong14,ROWS($1:25)),))</f>
        <v>42693</v>
      </c>
      <c r="B38" s="740" t="str">
        <f ca="1">IF(ROWS($1:25)&gt;COUNT(Dong14),"",OFFSET(TH!D$1,SMALL(Dong14,ROWS($1:25)),))</f>
        <v>TP/X16</v>
      </c>
      <c r="C38" s="740">
        <f ca="1">IF(ROWS($1:25)&gt;COUNT(Dong14),"",OFFSET(TH!E$1,SMALL(Dong14,ROWS($1:25)),))</f>
        <v>42693</v>
      </c>
      <c r="D38" s="741" t="str">
        <f ca="1">IF(ROWS($1:25)&gt;COUNT(Dong14),"",OFFSET(TH!F$1,SMALL(Dong14,ROWS($1:25)),))</f>
        <v>Thùng carton (58x57x95)</v>
      </c>
      <c r="E38" s="742" t="str">
        <f ca="1">IF(ROWS($1:25)&gt;COUNT(Dong14),"",IF(OFFSET(TH!L$1,SMALL(Dong14,ROWS($1:25)),)="331",OFFSET(TH!M$1,SMALL(Dong14,ROWS($1:25)),),OFFSET(TH!L$1,SMALL(Dong14,ROWS($1:25)),)))</f>
        <v>131</v>
      </c>
      <c r="F38" s="743">
        <f ca="1">IF(ROWS($1:25)&gt;COUNT(Dong14),"",IF(OFFSET(TH!L$1,SMALL(Dong14,ROWS($1:25)),)="131",OFFSET(TH!K$1,SMALL(Dong14,ROWS($1:25)),),0))</f>
        <v>808758</v>
      </c>
      <c r="G38" s="743">
        <f ca="1">IF(ROWS($1:25)&gt;COUNT(Dong14),"",IF(OFFSET(TH!M$1,SMALL(Dong14,ROWS($1:25)),)="131",OFFSET(TH!K$1,SMALL(Dong14,ROWS($1:25)),),0))</f>
        <v>0</v>
      </c>
      <c r="H38" s="744">
        <f t="shared" ca="1" si="0"/>
        <v>5920756</v>
      </c>
      <c r="I38" s="744">
        <f t="shared" ca="1" si="1"/>
        <v>0</v>
      </c>
    </row>
    <row r="39" spans="1:9" s="3" customFormat="1" ht="18" customHeight="1">
      <c r="A39" s="740">
        <f ca="1">IF(ROWS($1:26)&gt;COUNT(Dong14),"",OFFSET(TH!C$1,SMALL(Dong14,ROWS($1:26)),))</f>
        <v>42693</v>
      </c>
      <c r="B39" s="740" t="str">
        <f ca="1">IF(ROWS($1:26)&gt;COUNT(Dong14),"",OFFSET(TH!D$1,SMALL(Dong14,ROWS($1:26)),))</f>
        <v>TP/X16</v>
      </c>
      <c r="C39" s="740">
        <f ca="1">IF(ROWS($1:26)&gt;COUNT(Dong14),"",OFFSET(TH!E$1,SMALL(Dong14,ROWS($1:26)),))</f>
        <v>42693</v>
      </c>
      <c r="D39" s="741" t="str">
        <f ca="1">IF(ROWS($1:26)&gt;COUNT(Dong14),"",OFFSET(TH!F$1,SMALL(Dong14,ROWS($1:26)),))</f>
        <v>Thùng carton (58x57x81)</v>
      </c>
      <c r="E39" s="742" t="str">
        <f ca="1">IF(ROWS($1:26)&gt;COUNT(Dong14),"",IF(OFFSET(TH!L$1,SMALL(Dong14,ROWS($1:26)),)="331",OFFSET(TH!M$1,SMALL(Dong14,ROWS($1:26)),),OFFSET(TH!L$1,SMALL(Dong14,ROWS($1:26)),)))</f>
        <v>131</v>
      </c>
      <c r="F39" s="743">
        <f ca="1">IF(ROWS($1:26)&gt;COUNT(Dong14),"",IF(OFFSET(TH!L$1,SMALL(Dong14,ROWS($1:26)),)="131",OFFSET(TH!K$1,SMALL(Dong14,ROWS($1:26)),),0))</f>
        <v>754002</v>
      </c>
      <c r="G39" s="743">
        <f ca="1">IF(ROWS($1:26)&gt;COUNT(Dong14),"",IF(OFFSET(TH!M$1,SMALL(Dong14,ROWS($1:26)),)="131",OFFSET(TH!K$1,SMALL(Dong14,ROWS($1:26)),),0))</f>
        <v>0</v>
      </c>
      <c r="H39" s="744">
        <f t="shared" ca="1" si="0"/>
        <v>6674758</v>
      </c>
      <c r="I39" s="744">
        <f t="shared" ca="1" si="1"/>
        <v>0</v>
      </c>
    </row>
    <row r="40" spans="1:9" s="3" customFormat="1" ht="18" customHeight="1">
      <c r="A40" s="740">
        <f ca="1">IF(ROWS($1:27)&gt;COUNT(Dong14),"",OFFSET(TH!C$1,SMALL(Dong14,ROWS($1:27)),))</f>
        <v>42693</v>
      </c>
      <c r="B40" s="740" t="str">
        <f ca="1">IF(ROWS($1:27)&gt;COUNT(Dong14),"",OFFSET(TH!D$1,SMALL(Dong14,ROWS($1:27)),))</f>
        <v>TP/X16</v>
      </c>
      <c r="C40" s="740">
        <f ca="1">IF(ROWS($1:27)&gt;COUNT(Dong14),"",OFFSET(TH!E$1,SMALL(Dong14,ROWS($1:27)),))</f>
        <v>42693</v>
      </c>
      <c r="D40" s="741" t="str">
        <f ca="1">IF(ROWS($1:27)&gt;COUNT(Dong14),"",OFFSET(TH!F$1,SMALL(Dong14,ROWS($1:27)),))</f>
        <v>Thùng carton (67x62x114)</v>
      </c>
      <c r="E40" s="742" t="str">
        <f ca="1">IF(ROWS($1:27)&gt;COUNT(Dong14),"",IF(OFFSET(TH!L$1,SMALL(Dong14,ROWS($1:27)),)="331",OFFSET(TH!M$1,SMALL(Dong14,ROWS($1:27)),),OFFSET(TH!L$1,SMALL(Dong14,ROWS($1:27)),)))</f>
        <v>131</v>
      </c>
      <c r="F40" s="743">
        <f ca="1">IF(ROWS($1:27)&gt;COUNT(Dong14),"",IF(OFFSET(TH!L$1,SMALL(Dong14,ROWS($1:27)),)="131",OFFSET(TH!K$1,SMALL(Dong14,ROWS($1:27)),),0))</f>
        <v>1097980</v>
      </c>
      <c r="G40" s="743">
        <f ca="1">IF(ROWS($1:27)&gt;COUNT(Dong14),"",IF(OFFSET(TH!M$1,SMALL(Dong14,ROWS($1:27)),)="131",OFFSET(TH!K$1,SMALL(Dong14,ROWS($1:27)),),0))</f>
        <v>0</v>
      </c>
      <c r="H40" s="744">
        <f t="shared" ca="1" si="0"/>
        <v>7772738</v>
      </c>
      <c r="I40" s="744">
        <f t="shared" ca="1" si="1"/>
        <v>0</v>
      </c>
    </row>
    <row r="41" spans="1:9" s="3" customFormat="1" ht="18" customHeight="1">
      <c r="A41" s="740">
        <f ca="1">IF(ROWS($1:28)&gt;COUNT(Dong14),"",OFFSET(TH!C$1,SMALL(Dong14,ROWS($1:28)),))</f>
        <v>42693</v>
      </c>
      <c r="B41" s="740" t="str">
        <f ca="1">IF(ROWS($1:28)&gt;COUNT(Dong14),"",OFFSET(TH!D$1,SMALL(Dong14,ROWS($1:28)),))</f>
        <v>TP/X16</v>
      </c>
      <c r="C41" s="740">
        <f ca="1">IF(ROWS($1:28)&gt;COUNT(Dong14),"",OFFSET(TH!E$1,SMALL(Dong14,ROWS($1:28)),))</f>
        <v>42693</v>
      </c>
      <c r="D41" s="741" t="str">
        <f ca="1">IF(ROWS($1:28)&gt;COUNT(Dong14),"",OFFSET(TH!F$1,SMALL(Dong14,ROWS($1:28)),))</f>
        <v>Thùng carton (58x57x62)</v>
      </c>
      <c r="E41" s="742" t="str">
        <f ca="1">IF(ROWS($1:28)&gt;COUNT(Dong14),"",IF(OFFSET(TH!L$1,SMALL(Dong14,ROWS($1:28)),)="331",OFFSET(TH!M$1,SMALL(Dong14,ROWS($1:28)),),OFFSET(TH!L$1,SMALL(Dong14,ROWS($1:28)),)))</f>
        <v>131</v>
      </c>
      <c r="F41" s="743">
        <f ca="1">IF(ROWS($1:28)&gt;COUNT(Dong14),"",IF(OFFSET(TH!L$1,SMALL(Dong14,ROWS($1:28)),)="131",OFFSET(TH!K$1,SMALL(Dong14,ROWS($1:28)),),0))</f>
        <v>458619</v>
      </c>
      <c r="G41" s="743">
        <f ca="1">IF(ROWS($1:28)&gt;COUNT(Dong14),"",IF(OFFSET(TH!M$1,SMALL(Dong14,ROWS($1:28)),)="131",OFFSET(TH!K$1,SMALL(Dong14,ROWS($1:28)),),0))</f>
        <v>0</v>
      </c>
      <c r="H41" s="744">
        <f t="shared" ca="1" si="0"/>
        <v>8231357</v>
      </c>
      <c r="I41" s="744">
        <f t="shared" ca="1" si="1"/>
        <v>0</v>
      </c>
    </row>
    <row r="42" spans="1:9" s="3" customFormat="1" ht="18" customHeight="1">
      <c r="A42" s="740">
        <f ca="1">IF(ROWS($1:29)&gt;COUNT(Dong14),"",OFFSET(TH!C$1,SMALL(Dong14,ROWS($1:29)),))</f>
        <v>42693</v>
      </c>
      <c r="B42" s="740" t="str">
        <f ca="1">IF(ROWS($1:29)&gt;COUNT(Dong14),"",OFFSET(TH!D$1,SMALL(Dong14,ROWS($1:29)),))</f>
        <v>TP/X16</v>
      </c>
      <c r="C42" s="740">
        <f ca="1">IF(ROWS($1:29)&gt;COUNT(Dong14),"",OFFSET(TH!E$1,SMALL(Dong14,ROWS($1:29)),))</f>
        <v>42693</v>
      </c>
      <c r="D42" s="741" t="str">
        <f ca="1">IF(ROWS($1:29)&gt;COUNT(Dong14),"",OFFSET(TH!F$1,SMALL(Dong14,ROWS($1:29)),))</f>
        <v>VAT Thùng carton</v>
      </c>
      <c r="E42" s="742" t="str">
        <f ca="1">IF(ROWS($1:29)&gt;COUNT(Dong14),"",IF(OFFSET(TH!L$1,SMALL(Dong14,ROWS($1:29)),)="331",OFFSET(TH!M$1,SMALL(Dong14,ROWS($1:29)),),OFFSET(TH!L$1,SMALL(Dong14,ROWS($1:29)),)))</f>
        <v>131</v>
      </c>
      <c r="F42" s="743">
        <f ca="1">IF(ROWS($1:29)&gt;COUNT(Dong14),"",IF(OFFSET(TH!L$1,SMALL(Dong14,ROWS($1:29)),)="131",OFFSET(TH!K$1,SMALL(Dong14,ROWS($1:29)),),0))</f>
        <v>823136</v>
      </c>
      <c r="G42" s="743">
        <f ca="1">IF(ROWS($1:29)&gt;COUNT(Dong14),"",IF(OFFSET(TH!M$1,SMALL(Dong14,ROWS($1:29)),)="131",OFFSET(TH!K$1,SMALL(Dong14,ROWS($1:29)),),0))</f>
        <v>0</v>
      </c>
      <c r="H42" s="744">
        <f t="shared" ca="1" si="0"/>
        <v>9054493</v>
      </c>
      <c r="I42" s="744">
        <f t="shared" ca="1" si="1"/>
        <v>0</v>
      </c>
    </row>
    <row r="43" spans="1:9" s="3" customFormat="1" ht="18" customHeight="1">
      <c r="A43" s="740">
        <f ca="1">IF(ROWS($1:30)&gt;COUNT(Dong14),"",OFFSET(TH!C$1,SMALL(Dong14,ROWS($1:30)),))</f>
        <v>42693</v>
      </c>
      <c r="B43" s="740" t="str">
        <f ca="1">IF(ROWS($1:30)&gt;COUNT(Dong14),"",OFFSET(TH!D$1,SMALL(Dong14,ROWS($1:30)),))</f>
        <v>T14</v>
      </c>
      <c r="C43" s="740">
        <f ca="1">IF(ROWS($1:30)&gt;COUNT(Dong14),"",OFFSET(TH!E$1,SMALL(Dong14,ROWS($1:30)),))</f>
        <v>42693</v>
      </c>
      <c r="D43" s="741" t="str">
        <f ca="1">IF(ROWS($1:30)&gt;COUNT(Dong14),"",OFFSET(TH!F$1,SMALL(Dong14,ROWS($1:30)),))</f>
        <v>Thu tiền hàng</v>
      </c>
      <c r="E43" s="742" t="str">
        <f ca="1">IF(ROWS($1:30)&gt;COUNT(Dong14),"",IF(OFFSET(TH!L$1,SMALL(Dong14,ROWS($1:30)),)="331",OFFSET(TH!M$1,SMALL(Dong14,ROWS($1:30)),),OFFSET(TH!L$1,SMALL(Dong14,ROWS($1:30)),)))</f>
        <v>1111</v>
      </c>
      <c r="F43" s="743">
        <f ca="1">IF(ROWS($1:30)&gt;COUNT(Dong14),"",IF(OFFSET(TH!L$1,SMALL(Dong14,ROWS($1:30)),)="131",OFFSET(TH!K$1,SMALL(Dong14,ROWS($1:30)),),0))</f>
        <v>0</v>
      </c>
      <c r="G43" s="743">
        <f ca="1">IF(ROWS($1:30)&gt;COUNT(Dong14),"",IF(OFFSET(TH!M$1,SMALL(Dong14,ROWS($1:30)),)="131",OFFSET(TH!K$1,SMALL(Dong14,ROWS($1:30)),),0))</f>
        <v>9054493</v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>
        <f ca="1">IF(ROWS($1:31)&gt;COUNT(Dong14),"",OFFSET(TH!C$1,SMALL(Dong14,ROWS($1:31)),))</f>
        <v>42703</v>
      </c>
      <c r="B44" s="740" t="str">
        <f ca="1">IF(ROWS($1:31)&gt;COUNT(Dong14),"",OFFSET(TH!D$1,SMALL(Dong14,ROWS($1:31)),))</f>
        <v>TP/X22</v>
      </c>
      <c r="C44" s="740">
        <f ca="1">IF(ROWS($1:31)&gt;COUNT(Dong14),"",OFFSET(TH!E$1,SMALL(Dong14,ROWS($1:31)),))</f>
        <v>42703</v>
      </c>
      <c r="D44" s="741" t="str">
        <f ca="1">IF(ROWS($1:31)&gt;COUNT(Dong14),"",OFFSET(TH!F$1,SMALL(Dong14,ROWS($1:31)),))</f>
        <v>Thùng carton (123x63x186)</v>
      </c>
      <c r="E44" s="742" t="str">
        <f ca="1">IF(ROWS($1:31)&gt;COUNT(Dong14),"",IF(OFFSET(TH!L$1,SMALL(Dong14,ROWS($1:31)),)="331",OFFSET(TH!M$1,SMALL(Dong14,ROWS($1:31)),),OFFSET(TH!L$1,SMALL(Dong14,ROWS($1:31)),)))</f>
        <v>131</v>
      </c>
      <c r="F44" s="743">
        <f ca="1">IF(ROWS($1:31)&gt;COUNT(Dong14),"",IF(OFFSET(TH!L$1,SMALL(Dong14,ROWS($1:31)),)="131",OFFSET(TH!K$1,SMALL(Dong14,ROWS($1:31)),),0))</f>
        <v>1400000</v>
      </c>
      <c r="G44" s="743">
        <f ca="1">IF(ROWS($1:31)&gt;COUNT(Dong14),"",IF(OFFSET(TH!M$1,SMALL(Dong14,ROWS($1:31)),)="131",OFFSET(TH!K$1,SMALL(Dong14,ROWS($1:31)),),0))</f>
        <v>0</v>
      </c>
      <c r="H44" s="744">
        <f t="shared" ca="1" si="0"/>
        <v>1400000</v>
      </c>
      <c r="I44" s="744">
        <f t="shared" ca="1" si="1"/>
        <v>0</v>
      </c>
    </row>
    <row r="45" spans="1:9" s="3" customFormat="1" ht="18" customHeight="1">
      <c r="A45" s="740">
        <f ca="1">IF(ROWS($1:32)&gt;COUNT(Dong14),"",OFFSET(TH!C$1,SMALL(Dong14,ROWS($1:32)),))</f>
        <v>42703</v>
      </c>
      <c r="B45" s="740" t="str">
        <f ca="1">IF(ROWS($1:32)&gt;COUNT(Dong14),"",OFFSET(TH!D$1,SMALL(Dong14,ROWS($1:32)),))</f>
        <v>TP/X22</v>
      </c>
      <c r="C45" s="740">
        <f ca="1">IF(ROWS($1:32)&gt;COUNT(Dong14),"",OFFSET(TH!E$1,SMALL(Dong14,ROWS($1:32)),))</f>
        <v>42703</v>
      </c>
      <c r="D45" s="741" t="str">
        <f ca="1">IF(ROWS($1:32)&gt;COUNT(Dong14),"",OFFSET(TH!F$1,SMALL(Dong14,ROWS($1:32)),))</f>
        <v>Thùng carton (123x63x138)</v>
      </c>
      <c r="E45" s="742" t="str">
        <f ca="1">IF(ROWS($1:32)&gt;COUNT(Dong14),"",IF(OFFSET(TH!L$1,SMALL(Dong14,ROWS($1:32)),)="331",OFFSET(TH!M$1,SMALL(Dong14,ROWS($1:32)),),OFFSET(TH!L$1,SMALL(Dong14,ROWS($1:32)),)))</f>
        <v>131</v>
      </c>
      <c r="F45" s="743">
        <f ca="1">IF(ROWS($1:32)&gt;COUNT(Dong14),"",IF(OFFSET(TH!L$1,SMALL(Dong14,ROWS($1:32)),)="131",OFFSET(TH!K$1,SMALL(Dong14,ROWS($1:32)),),0))</f>
        <v>265000</v>
      </c>
      <c r="G45" s="743">
        <f ca="1">IF(ROWS($1:32)&gt;COUNT(Dong14),"",IF(OFFSET(TH!M$1,SMALL(Dong14,ROWS($1:32)),)="131",OFFSET(TH!K$1,SMALL(Dong14,ROWS($1:32)),),0))</f>
        <v>0</v>
      </c>
      <c r="H45" s="744">
        <f t="shared" ca="1" si="0"/>
        <v>1665000</v>
      </c>
      <c r="I45" s="744">
        <f t="shared" ca="1" si="1"/>
        <v>0</v>
      </c>
    </row>
    <row r="46" spans="1:9" s="3" customFormat="1" ht="18" customHeight="1">
      <c r="A46" s="740">
        <f ca="1">IF(ROWS($1:33)&gt;COUNT(Dong14),"",OFFSET(TH!C$1,SMALL(Dong14,ROWS($1:33)),))</f>
        <v>42703</v>
      </c>
      <c r="B46" s="740" t="str">
        <f ca="1">IF(ROWS($1:33)&gt;COUNT(Dong14),"",OFFSET(TH!D$1,SMALL(Dong14,ROWS($1:33)),))</f>
        <v>TP/X22</v>
      </c>
      <c r="C46" s="740">
        <f ca="1">IF(ROWS($1:33)&gt;COUNT(Dong14),"",OFFSET(TH!E$1,SMALL(Dong14,ROWS($1:33)),))</f>
        <v>42703</v>
      </c>
      <c r="D46" s="741" t="str">
        <f ca="1">IF(ROWS($1:33)&gt;COUNT(Dong14),"",OFFSET(TH!F$1,SMALL(Dong14,ROWS($1:33)),))</f>
        <v>Thùng carton (142x72x58)</v>
      </c>
      <c r="E46" s="742" t="str">
        <f ca="1">IF(ROWS($1:33)&gt;COUNT(Dong14),"",IF(OFFSET(TH!L$1,SMALL(Dong14,ROWS($1:33)),)="331",OFFSET(TH!M$1,SMALL(Dong14,ROWS($1:33)),),OFFSET(TH!L$1,SMALL(Dong14,ROWS($1:33)),)))</f>
        <v>131</v>
      </c>
      <c r="F46" s="743">
        <f ca="1">IF(ROWS($1:33)&gt;COUNT(Dong14),"",IF(OFFSET(TH!L$1,SMALL(Dong14,ROWS($1:33)),)="131",OFFSET(TH!K$1,SMALL(Dong14,ROWS($1:33)),),0))</f>
        <v>3023700</v>
      </c>
      <c r="G46" s="743">
        <f ca="1">IF(ROWS($1:33)&gt;COUNT(Dong14),"",IF(OFFSET(TH!M$1,SMALL(Dong14,ROWS($1:33)),)="131",OFFSET(TH!K$1,SMALL(Dong14,ROWS($1:33)),),0))</f>
        <v>0</v>
      </c>
      <c r="H46" s="744">
        <f t="shared" ca="1" si="0"/>
        <v>4688700</v>
      </c>
      <c r="I46" s="744">
        <f t="shared" ca="1" si="1"/>
        <v>0</v>
      </c>
    </row>
    <row r="47" spans="1:9" s="3" customFormat="1" ht="18" customHeight="1">
      <c r="A47" s="740">
        <f ca="1">IF(ROWS($1:34)&gt;COUNT(Dong14),"",OFFSET(TH!C$1,SMALL(Dong14,ROWS($1:34)),))</f>
        <v>42703</v>
      </c>
      <c r="B47" s="740" t="str">
        <f ca="1">IF(ROWS($1:34)&gt;COUNT(Dong14),"",OFFSET(TH!D$1,SMALL(Dong14,ROWS($1:34)),))</f>
        <v>TP/X22</v>
      </c>
      <c r="C47" s="740">
        <f ca="1">IF(ROWS($1:34)&gt;COUNT(Dong14),"",OFFSET(TH!E$1,SMALL(Dong14,ROWS($1:34)),))</f>
        <v>42703</v>
      </c>
      <c r="D47" s="741" t="str">
        <f ca="1">IF(ROWS($1:34)&gt;COUNT(Dong14),"",OFFSET(TH!F$1,SMALL(Dong14,ROWS($1:34)),))</f>
        <v>Thùng carton (162x64x178)</v>
      </c>
      <c r="E47" s="742" t="str">
        <f ca="1">IF(ROWS($1:34)&gt;COUNT(Dong14),"",IF(OFFSET(TH!L$1,SMALL(Dong14,ROWS($1:34)),)="331",OFFSET(TH!M$1,SMALL(Dong14,ROWS($1:34)),),OFFSET(TH!L$1,SMALL(Dong14,ROWS($1:34)),)))</f>
        <v>131</v>
      </c>
      <c r="F47" s="743">
        <f ca="1">IF(ROWS($1:34)&gt;COUNT(Dong14),"",IF(OFFSET(TH!L$1,SMALL(Dong14,ROWS($1:34)),)="131",OFFSET(TH!K$1,SMALL(Dong14,ROWS($1:34)),),0))</f>
        <v>910800</v>
      </c>
      <c r="G47" s="743">
        <f ca="1">IF(ROWS($1:34)&gt;COUNT(Dong14),"",IF(OFFSET(TH!M$1,SMALL(Dong14,ROWS($1:34)),)="131",OFFSET(TH!K$1,SMALL(Dong14,ROWS($1:34)),),0))</f>
        <v>0</v>
      </c>
      <c r="H47" s="744">
        <f t="shared" ca="1" si="0"/>
        <v>5599500</v>
      </c>
      <c r="I47" s="744">
        <f t="shared" ca="1" si="1"/>
        <v>0</v>
      </c>
    </row>
    <row r="48" spans="1:9" s="3" customFormat="1" ht="18" customHeight="1">
      <c r="A48" s="740">
        <f ca="1">IF(ROWS($1:35)&gt;COUNT(Dong14),"",OFFSET(TH!C$1,SMALL(Dong14,ROWS($1:35)),))</f>
        <v>42703</v>
      </c>
      <c r="B48" s="740" t="str">
        <f ca="1">IF(ROWS($1:35)&gt;COUNT(Dong14),"",OFFSET(TH!D$1,SMALL(Dong14,ROWS($1:35)),))</f>
        <v>TP/X22</v>
      </c>
      <c r="C48" s="740">
        <f ca="1">IF(ROWS($1:35)&gt;COUNT(Dong14),"",OFFSET(TH!E$1,SMALL(Dong14,ROWS($1:35)),))</f>
        <v>42703</v>
      </c>
      <c r="D48" s="741" t="str">
        <f ca="1">IF(ROWS($1:35)&gt;COUNT(Dong14),"",OFFSET(TH!F$1,SMALL(Dong14,ROWS($1:35)),))</f>
        <v>VAT Thùng carton</v>
      </c>
      <c r="E48" s="742" t="str">
        <f ca="1">IF(ROWS($1:35)&gt;COUNT(Dong14),"",IF(OFFSET(TH!L$1,SMALL(Dong14,ROWS($1:35)),)="331",OFFSET(TH!M$1,SMALL(Dong14,ROWS($1:35)),),OFFSET(TH!L$1,SMALL(Dong14,ROWS($1:35)),)))</f>
        <v>131</v>
      </c>
      <c r="F48" s="743">
        <f ca="1">IF(ROWS($1:35)&gt;COUNT(Dong14),"",IF(OFFSET(TH!L$1,SMALL(Dong14,ROWS($1:35)),)="131",OFFSET(TH!K$1,SMALL(Dong14,ROWS($1:35)),),0))</f>
        <v>559950</v>
      </c>
      <c r="G48" s="743">
        <f ca="1">IF(ROWS($1:35)&gt;COUNT(Dong14),"",IF(OFFSET(TH!M$1,SMALL(Dong14,ROWS($1:35)),)="131",OFFSET(TH!K$1,SMALL(Dong14,ROWS($1:35)),),0))</f>
        <v>0</v>
      </c>
      <c r="H48" s="744">
        <f t="shared" ca="1" si="0"/>
        <v>6159450</v>
      </c>
      <c r="I48" s="744">
        <f t="shared" ca="1" si="1"/>
        <v>0</v>
      </c>
    </row>
    <row r="49" spans="1:9" s="3" customFormat="1" ht="18" customHeight="1">
      <c r="A49" s="740">
        <f ca="1">IF(ROWS($1:36)&gt;COUNT(Dong14),"",OFFSET(TH!C$1,SMALL(Dong14,ROWS($1:36)),))</f>
        <v>42703</v>
      </c>
      <c r="B49" s="740" t="str">
        <f ca="1">IF(ROWS($1:36)&gt;COUNT(Dong14),"",OFFSET(TH!D$1,SMALL(Dong14,ROWS($1:36)),))</f>
        <v>T20</v>
      </c>
      <c r="C49" s="740">
        <f ca="1">IF(ROWS($1:36)&gt;COUNT(Dong14),"",OFFSET(TH!E$1,SMALL(Dong14,ROWS($1:36)),))</f>
        <v>42703</v>
      </c>
      <c r="D49" s="741" t="str">
        <f ca="1">IF(ROWS($1:36)&gt;COUNT(Dong14),"",OFFSET(TH!F$1,SMALL(Dong14,ROWS($1:36)),))</f>
        <v>Thu tiền hàng</v>
      </c>
      <c r="E49" s="742" t="str">
        <f ca="1">IF(ROWS($1:36)&gt;COUNT(Dong14),"",IF(OFFSET(TH!L$1,SMALL(Dong14,ROWS($1:36)),)="331",OFFSET(TH!M$1,SMALL(Dong14,ROWS($1:36)),),OFFSET(TH!L$1,SMALL(Dong14,ROWS($1:36)),)))</f>
        <v>1111</v>
      </c>
      <c r="F49" s="743">
        <f ca="1">IF(ROWS($1:36)&gt;COUNT(Dong14),"",IF(OFFSET(TH!L$1,SMALL(Dong14,ROWS($1:36)),)="131",OFFSET(TH!K$1,SMALL(Dong14,ROWS($1:36)),),0))</f>
        <v>0</v>
      </c>
      <c r="G49" s="743">
        <f ca="1">IF(ROWS($1:36)&gt;COUNT(Dong14),"",IF(OFFSET(TH!M$1,SMALL(Dong14,ROWS($1:36)),)="131",OFFSET(TH!K$1,SMALL(Dong14,ROWS($1:36)),),0))</f>
        <v>6159450</v>
      </c>
      <c r="H49" s="744">
        <f t="shared" ca="1" si="0"/>
        <v>0</v>
      </c>
      <c r="I49" s="744">
        <f t="shared" ca="1" si="1"/>
        <v>0</v>
      </c>
    </row>
    <row r="50" spans="1:9" s="3" customFormat="1" ht="18" customHeight="1">
      <c r="A50" s="740">
        <f ca="1">IF(ROWS($1:37)&gt;COUNT(Dong14),"",OFFSET(TH!C$1,SMALL(Dong14,ROWS($1:37)),))</f>
        <v>42717</v>
      </c>
      <c r="B50" s="740" t="str">
        <f ca="1">IF(ROWS($1:37)&gt;COUNT(Dong14),"",OFFSET(TH!D$1,SMALL(Dong14,ROWS($1:37)),))</f>
        <v>TP/X37</v>
      </c>
      <c r="C50" s="740">
        <f ca="1">IF(ROWS($1:37)&gt;COUNT(Dong14),"",OFFSET(TH!E$1,SMALL(Dong14,ROWS($1:37)),))</f>
        <v>42717</v>
      </c>
      <c r="D50" s="741" t="str">
        <f ca="1">IF(ROWS($1:37)&gt;COUNT(Dong14),"",OFFSET(TH!F$1,SMALL(Dong14,ROWS($1:37)),))</f>
        <v>Thùng carton (103x50x180)</v>
      </c>
      <c r="E50" s="742" t="str">
        <f ca="1">IF(ROWS($1:37)&gt;COUNT(Dong14),"",IF(OFFSET(TH!L$1,SMALL(Dong14,ROWS($1:37)),)="331",OFFSET(TH!M$1,SMALL(Dong14,ROWS($1:37)),),OFFSET(TH!L$1,SMALL(Dong14,ROWS($1:37)),)))</f>
        <v>131</v>
      </c>
      <c r="F50" s="743">
        <f ca="1">IF(ROWS($1:37)&gt;COUNT(Dong14),"",IF(OFFSET(TH!L$1,SMALL(Dong14,ROWS($1:37)),)="131",OFFSET(TH!K$1,SMALL(Dong14,ROWS($1:37)),),0))</f>
        <v>2846940</v>
      </c>
      <c r="G50" s="743">
        <f ca="1">IF(ROWS($1:37)&gt;COUNT(Dong14),"",IF(OFFSET(TH!M$1,SMALL(Dong14,ROWS($1:37)),)="131",OFFSET(TH!K$1,SMALL(Dong14,ROWS($1:37)),),0))</f>
        <v>0</v>
      </c>
      <c r="H50" s="744">
        <f t="shared" ca="1" si="0"/>
        <v>2846940</v>
      </c>
      <c r="I50" s="744">
        <f t="shared" ca="1" si="1"/>
        <v>0</v>
      </c>
    </row>
    <row r="51" spans="1:9" s="3" customFormat="1" ht="18" customHeight="1">
      <c r="A51" s="740">
        <f ca="1">IF(ROWS($1:38)&gt;COUNT(Dong14),"",OFFSET(TH!C$1,SMALL(Dong14,ROWS($1:38)),))</f>
        <v>42717</v>
      </c>
      <c r="B51" s="740" t="str">
        <f ca="1">IF(ROWS($1:38)&gt;COUNT(Dong14),"",OFFSET(TH!D$1,SMALL(Dong14,ROWS($1:38)),))</f>
        <v>TP/X37</v>
      </c>
      <c r="C51" s="740">
        <f ca="1">IF(ROWS($1:38)&gt;COUNT(Dong14),"",OFFSET(TH!E$1,SMALL(Dong14,ROWS($1:38)),))</f>
        <v>42717</v>
      </c>
      <c r="D51" s="741" t="str">
        <f ca="1">IF(ROWS($1:38)&gt;COUNT(Dong14),"",OFFSET(TH!F$1,SMALL(Dong14,ROWS($1:38)),))</f>
        <v>Thùng carton (122x54x180)</v>
      </c>
      <c r="E51" s="742" t="str">
        <f ca="1">IF(ROWS($1:38)&gt;COUNT(Dong14),"",IF(OFFSET(TH!L$1,SMALL(Dong14,ROWS($1:38)),)="331",OFFSET(TH!M$1,SMALL(Dong14,ROWS($1:38)),),OFFSET(TH!L$1,SMALL(Dong14,ROWS($1:38)),)))</f>
        <v>131</v>
      </c>
      <c r="F51" s="743">
        <f ca="1">IF(ROWS($1:38)&gt;COUNT(Dong14),"",IF(OFFSET(TH!L$1,SMALL(Dong14,ROWS($1:38)),)="131",OFFSET(TH!K$1,SMALL(Dong14,ROWS($1:38)),),0))</f>
        <v>1199660</v>
      </c>
      <c r="G51" s="743">
        <f ca="1">IF(ROWS($1:38)&gt;COUNT(Dong14),"",IF(OFFSET(TH!M$1,SMALL(Dong14,ROWS($1:38)),)="131",OFFSET(TH!K$1,SMALL(Dong14,ROWS($1:38)),),0))</f>
        <v>0</v>
      </c>
      <c r="H51" s="744">
        <f t="shared" ca="1" si="0"/>
        <v>4046600</v>
      </c>
      <c r="I51" s="744">
        <f t="shared" ca="1" si="1"/>
        <v>0</v>
      </c>
    </row>
    <row r="52" spans="1:9" s="3" customFormat="1" ht="18" customHeight="1">
      <c r="A52" s="740">
        <f ca="1">IF(ROWS($1:39)&gt;COUNT(Dong14),"",OFFSET(TH!C$1,SMALL(Dong14,ROWS($1:39)),))</f>
        <v>42717</v>
      </c>
      <c r="B52" s="740" t="str">
        <f ca="1">IF(ROWS($1:39)&gt;COUNT(Dong14),"",OFFSET(TH!D$1,SMALL(Dong14,ROWS($1:39)),))</f>
        <v>TP/X37</v>
      </c>
      <c r="C52" s="740">
        <f ca="1">IF(ROWS($1:39)&gt;COUNT(Dong14),"",OFFSET(TH!E$1,SMALL(Dong14,ROWS($1:39)),))</f>
        <v>42717</v>
      </c>
      <c r="D52" s="741" t="str">
        <f ca="1">IF(ROWS($1:39)&gt;COUNT(Dong14),"",OFFSET(TH!F$1,SMALL(Dong14,ROWS($1:39)),))</f>
        <v>VAT Thùng carton</v>
      </c>
      <c r="E52" s="742" t="str">
        <f ca="1">IF(ROWS($1:39)&gt;COUNT(Dong14),"",IF(OFFSET(TH!L$1,SMALL(Dong14,ROWS($1:39)),)="331",OFFSET(TH!M$1,SMALL(Dong14,ROWS($1:39)),),OFFSET(TH!L$1,SMALL(Dong14,ROWS($1:39)),)))</f>
        <v>131</v>
      </c>
      <c r="F52" s="743">
        <f ca="1">IF(ROWS($1:39)&gt;COUNT(Dong14),"",IF(OFFSET(TH!L$1,SMALL(Dong14,ROWS($1:39)),)="131",OFFSET(TH!K$1,SMALL(Dong14,ROWS($1:39)),),0))</f>
        <v>404660</v>
      </c>
      <c r="G52" s="743">
        <f ca="1">IF(ROWS($1:39)&gt;COUNT(Dong14),"",IF(OFFSET(TH!M$1,SMALL(Dong14,ROWS($1:39)),)="131",OFFSET(TH!K$1,SMALL(Dong14,ROWS($1:39)),),0))</f>
        <v>0</v>
      </c>
      <c r="H52" s="744">
        <f t="shared" ca="1" si="0"/>
        <v>4451260</v>
      </c>
      <c r="I52" s="744">
        <f t="shared" ca="1" si="1"/>
        <v>0</v>
      </c>
    </row>
    <row r="53" spans="1:9" s="3" customFormat="1" ht="18" customHeight="1">
      <c r="A53" s="740">
        <f ca="1">IF(ROWS($1:40)&gt;COUNT(Dong14),"",OFFSET(TH!C$1,SMALL(Dong14,ROWS($1:40)),))</f>
        <v>42717</v>
      </c>
      <c r="B53" s="740" t="str">
        <f ca="1">IF(ROWS($1:40)&gt;COUNT(Dong14),"",OFFSET(TH!D$1,SMALL(Dong14,ROWS($1:40)),))</f>
        <v>T32</v>
      </c>
      <c r="C53" s="740">
        <f ca="1">IF(ROWS($1:40)&gt;COUNT(Dong14),"",OFFSET(TH!E$1,SMALL(Dong14,ROWS($1:40)),))</f>
        <v>42717</v>
      </c>
      <c r="D53" s="741" t="str">
        <f ca="1">IF(ROWS($1:40)&gt;COUNT(Dong14),"",OFFSET(TH!F$1,SMALL(Dong14,ROWS($1:40)),))</f>
        <v>Thu tiền hàng</v>
      </c>
      <c r="E53" s="742" t="str">
        <f ca="1">IF(ROWS($1:40)&gt;COUNT(Dong14),"",IF(OFFSET(TH!L$1,SMALL(Dong14,ROWS($1:40)),)="331",OFFSET(TH!M$1,SMALL(Dong14,ROWS($1:40)),),OFFSET(TH!L$1,SMALL(Dong14,ROWS($1:40)),)))</f>
        <v>1111</v>
      </c>
      <c r="F53" s="743">
        <f ca="1">IF(ROWS($1:40)&gt;COUNT(Dong14),"",IF(OFFSET(TH!L$1,SMALL(Dong14,ROWS($1:40)),)="131",OFFSET(TH!K$1,SMALL(Dong14,ROWS($1:40)),),0))</f>
        <v>0</v>
      </c>
      <c r="G53" s="743">
        <f ca="1">IF(ROWS($1:40)&gt;COUNT(Dong14),"",IF(OFFSET(TH!M$1,SMALL(Dong14,ROWS($1:40)),)="131",OFFSET(TH!K$1,SMALL(Dong14,ROWS($1:40)),),0))</f>
        <v>4451260</v>
      </c>
      <c r="H53" s="744">
        <f t="shared" ca="1" si="0"/>
        <v>0</v>
      </c>
      <c r="I53" s="744">
        <f t="shared" ca="1" si="1"/>
        <v>0</v>
      </c>
    </row>
    <row r="54" spans="1:9" s="3" customFormat="1" ht="18" customHeight="1">
      <c r="A54" s="740">
        <f ca="1">IF(ROWS($1:41)&gt;COUNT(Dong14),"",OFFSET(TH!C$1,SMALL(Dong14,ROWS($1:41)),))</f>
        <v>42726</v>
      </c>
      <c r="B54" s="740" t="str">
        <f ca="1">IF(ROWS($1:41)&gt;COUNT(Dong14),"",OFFSET(TH!D$1,SMALL(Dong14,ROWS($1:41)),))</f>
        <v>TP/X57</v>
      </c>
      <c r="C54" s="740">
        <f ca="1">IF(ROWS($1:41)&gt;COUNT(Dong14),"",OFFSET(TH!E$1,SMALL(Dong14,ROWS($1:41)),))</f>
        <v>42726</v>
      </c>
      <c r="D54" s="741" t="str">
        <f ca="1">IF(ROWS($1:41)&gt;COUNT(Dong14),"",OFFSET(TH!F$1,SMALL(Dong14,ROWS($1:41)),))</f>
        <v>Thùng carton (103x50x180)</v>
      </c>
      <c r="E54" s="742" t="str">
        <f ca="1">IF(ROWS($1:41)&gt;COUNT(Dong14),"",IF(OFFSET(TH!L$1,SMALL(Dong14,ROWS($1:41)),)="331",OFFSET(TH!M$1,SMALL(Dong14,ROWS($1:41)),),OFFSET(TH!L$1,SMALL(Dong14,ROWS($1:41)),)))</f>
        <v>131</v>
      </c>
      <c r="F54" s="743">
        <f ca="1">IF(ROWS($1:41)&gt;COUNT(Dong14),"",IF(OFFSET(TH!L$1,SMALL(Dong14,ROWS($1:41)),)="131",OFFSET(TH!K$1,SMALL(Dong14,ROWS($1:41)),),0))</f>
        <v>13665312</v>
      </c>
      <c r="G54" s="743">
        <f ca="1">IF(ROWS($1:41)&gt;COUNT(Dong14),"",IF(OFFSET(TH!M$1,SMALL(Dong14,ROWS($1:41)),)="131",OFFSET(TH!K$1,SMALL(Dong14,ROWS($1:41)),),0))</f>
        <v>0</v>
      </c>
      <c r="H54" s="744">
        <f t="shared" ca="1" si="0"/>
        <v>13665312</v>
      </c>
      <c r="I54" s="744">
        <f t="shared" ca="1" si="1"/>
        <v>0</v>
      </c>
    </row>
    <row r="55" spans="1:9" s="3" customFormat="1" ht="18" customHeight="1">
      <c r="A55" s="740">
        <f ca="1">IF(ROWS($1:42)&gt;COUNT(Dong14),"",OFFSET(TH!C$1,SMALL(Dong14,ROWS($1:42)),))</f>
        <v>42726</v>
      </c>
      <c r="B55" s="740" t="str">
        <f ca="1">IF(ROWS($1:42)&gt;COUNT(Dong14),"",OFFSET(TH!D$1,SMALL(Dong14,ROWS($1:42)),))</f>
        <v>TP/X57</v>
      </c>
      <c r="C55" s="740">
        <f ca="1">IF(ROWS($1:42)&gt;COUNT(Dong14),"",OFFSET(TH!E$1,SMALL(Dong14,ROWS($1:42)),))</f>
        <v>42726</v>
      </c>
      <c r="D55" s="741" t="str">
        <f ca="1">IF(ROWS($1:42)&gt;COUNT(Dong14),"",OFFSET(TH!F$1,SMALL(Dong14,ROWS($1:42)),))</f>
        <v>Thùng carton (76x54x140)</v>
      </c>
      <c r="E55" s="742" t="str">
        <f ca="1">IF(ROWS($1:42)&gt;COUNT(Dong14),"",IF(OFFSET(TH!L$1,SMALL(Dong14,ROWS($1:42)),)="331",OFFSET(TH!M$1,SMALL(Dong14,ROWS($1:42)),),OFFSET(TH!L$1,SMALL(Dong14,ROWS($1:42)),)))</f>
        <v>131</v>
      </c>
      <c r="F55" s="743">
        <f ca="1">IF(ROWS($1:42)&gt;COUNT(Dong14),"",IF(OFFSET(TH!L$1,SMALL(Dong14,ROWS($1:42)),)="131",OFFSET(TH!K$1,SMALL(Dong14,ROWS($1:42)),),0))</f>
        <v>840000</v>
      </c>
      <c r="G55" s="743">
        <f ca="1">IF(ROWS($1:42)&gt;COUNT(Dong14),"",IF(OFFSET(TH!M$1,SMALL(Dong14,ROWS($1:42)),)="131",OFFSET(TH!K$1,SMALL(Dong14,ROWS($1:42)),),0))</f>
        <v>0</v>
      </c>
      <c r="H55" s="744">
        <f t="shared" ca="1" si="0"/>
        <v>14505312</v>
      </c>
      <c r="I55" s="744">
        <f t="shared" ca="1" si="1"/>
        <v>0</v>
      </c>
    </row>
    <row r="56" spans="1:9" s="3" customFormat="1" ht="18" customHeight="1">
      <c r="A56" s="740">
        <f ca="1">IF(ROWS($1:43)&gt;COUNT(Dong14),"",OFFSET(TH!C$1,SMALL(Dong14,ROWS($1:43)),))</f>
        <v>42726</v>
      </c>
      <c r="B56" s="740" t="str">
        <f ca="1">IF(ROWS($1:43)&gt;COUNT(Dong14),"",OFFSET(TH!D$1,SMALL(Dong14,ROWS($1:43)),))</f>
        <v>TP/X57</v>
      </c>
      <c r="C56" s="740">
        <f ca="1">IF(ROWS($1:43)&gt;COUNT(Dong14),"",OFFSET(TH!E$1,SMALL(Dong14,ROWS($1:43)),))</f>
        <v>42726</v>
      </c>
      <c r="D56" s="741" t="str">
        <f ca="1">IF(ROWS($1:43)&gt;COUNT(Dong14),"",OFFSET(TH!F$1,SMALL(Dong14,ROWS($1:43)),))</f>
        <v>VAT Thùng carton</v>
      </c>
      <c r="E56" s="742" t="str">
        <f ca="1">IF(ROWS($1:43)&gt;COUNT(Dong14),"",IF(OFFSET(TH!L$1,SMALL(Dong14,ROWS($1:43)),)="331",OFFSET(TH!M$1,SMALL(Dong14,ROWS($1:43)),),OFFSET(TH!L$1,SMALL(Dong14,ROWS($1:43)),)))</f>
        <v>131</v>
      </c>
      <c r="F56" s="743">
        <f ca="1">IF(ROWS($1:43)&gt;COUNT(Dong14),"",IF(OFFSET(TH!L$1,SMALL(Dong14,ROWS($1:43)),)="131",OFFSET(TH!K$1,SMALL(Dong14,ROWS($1:43)),),0))</f>
        <v>1450531</v>
      </c>
      <c r="G56" s="743">
        <f ca="1">IF(ROWS($1:43)&gt;COUNT(Dong14),"",IF(OFFSET(TH!M$1,SMALL(Dong14,ROWS($1:43)),)="131",OFFSET(TH!K$1,SMALL(Dong14,ROWS($1:43)),),0))</f>
        <v>0</v>
      </c>
      <c r="H56" s="744">
        <f t="shared" ca="1" si="0"/>
        <v>15955843</v>
      </c>
      <c r="I56" s="744">
        <f t="shared" ca="1" si="1"/>
        <v>0</v>
      </c>
    </row>
    <row r="57" spans="1:9" s="3" customFormat="1" ht="18" customHeight="1">
      <c r="A57" s="740" t="str">
        <f ca="1">IF(ROWS($1:44)&gt;COUNT(Dong14),"",OFFSET(TH!C$1,SMALL(Dong14,ROWS($1:44)),))</f>
        <v/>
      </c>
      <c r="B57" s="740" t="str">
        <f ca="1">IF(ROWS($1:44)&gt;COUNT(Dong14),"",OFFSET(TH!D$1,SMALL(Dong14,ROWS($1:44)),))</f>
        <v/>
      </c>
      <c r="C57" s="740" t="str">
        <f ca="1">IF(ROWS($1:44)&gt;COUNT(Dong14),"",OFFSET(TH!E$1,SMALL(Dong14,ROWS($1:44)),))</f>
        <v/>
      </c>
      <c r="D57" s="741" t="str">
        <f ca="1">IF(ROWS($1:44)&gt;COUNT(Dong14),"",OFFSET(TH!F$1,SMALL(Dong14,ROWS($1:44)),))</f>
        <v/>
      </c>
      <c r="E57" s="742" t="str">
        <f ca="1">IF(ROWS($1:44)&gt;COUNT(Dong14),"",IF(OFFSET(TH!L$1,SMALL(Dong14,ROWS($1:44)),)="331",OFFSET(TH!M$1,SMALL(Dong14,ROWS($1:44)),),OFFSET(TH!L$1,SMALL(Dong14,ROWS($1:44)),)))</f>
        <v/>
      </c>
      <c r="F57" s="743" t="str">
        <f ca="1">IF(ROWS($1:44)&gt;COUNT(Dong14),"",IF(OFFSET(TH!L$1,SMALL(Dong14,ROWS($1:44)),)="131",OFFSET(TH!K$1,SMALL(Dong14,ROWS($1:44)),),0))</f>
        <v/>
      </c>
      <c r="G57" s="743" t="str">
        <f ca="1">IF(ROWS($1:44)&gt;COUNT(Dong14),"",IF(OFFSET(TH!M$1,SMALL(Dong14,ROWS($1:44)),)="131",OFFSET(TH!K$1,SMALL(Dong14,ROWS($1:44)),),0))</f>
        <v/>
      </c>
      <c r="H57" s="744">
        <f t="shared" ca="1" si="0"/>
        <v>0</v>
      </c>
      <c r="I57" s="744">
        <f t="shared" ca="1" si="1"/>
        <v>0</v>
      </c>
    </row>
    <row r="58" spans="1:9" s="3" customFormat="1" ht="18" customHeight="1">
      <c r="A58" s="740" t="str">
        <f ca="1">IF(ROWS($1:45)&gt;COUNT(Dong14),"",OFFSET(TH!C$1,SMALL(Dong14,ROWS($1:45)),))</f>
        <v/>
      </c>
      <c r="B58" s="740" t="str">
        <f ca="1">IF(ROWS($1:45)&gt;COUNT(Dong14),"",OFFSET(TH!D$1,SMALL(Dong14,ROWS($1:45)),))</f>
        <v/>
      </c>
      <c r="C58" s="740" t="str">
        <f ca="1">IF(ROWS($1:45)&gt;COUNT(Dong14),"",OFFSET(TH!E$1,SMALL(Dong14,ROWS($1:45)),))</f>
        <v/>
      </c>
      <c r="D58" s="741" t="str">
        <f ca="1">IF(ROWS($1:45)&gt;COUNT(Dong14),"",OFFSET(TH!F$1,SMALL(Dong14,ROWS($1:45)),))</f>
        <v/>
      </c>
      <c r="E58" s="742" t="str">
        <f ca="1">IF(ROWS($1:45)&gt;COUNT(Dong14),"",IF(OFFSET(TH!L$1,SMALL(Dong14,ROWS($1:45)),)="331",OFFSET(TH!M$1,SMALL(Dong14,ROWS($1:45)),),OFFSET(TH!L$1,SMALL(Dong14,ROWS($1:45)),)))</f>
        <v/>
      </c>
      <c r="F58" s="743" t="str">
        <f ca="1">IF(ROWS($1:45)&gt;COUNT(Dong14),"",IF(OFFSET(TH!L$1,SMALL(Dong14,ROWS($1:45)),)="131",OFFSET(TH!K$1,SMALL(Dong14,ROWS($1:45)),),0))</f>
        <v/>
      </c>
      <c r="G58" s="743" t="str">
        <f ca="1">IF(ROWS($1:45)&gt;COUNT(Dong14),"",IF(OFFSET(TH!M$1,SMALL(Dong14,ROWS($1:45)),)="131",OFFSET(TH!K$1,SMALL(Dong14,ROWS($1:45)),),0))</f>
        <v/>
      </c>
      <c r="H58" s="744">
        <f t="shared" ca="1" si="0"/>
        <v>0</v>
      </c>
      <c r="I58" s="744">
        <f t="shared" ca="1" si="1"/>
        <v>0</v>
      </c>
    </row>
    <row r="59" spans="1:9" s="3" customFormat="1" ht="18" customHeight="1">
      <c r="A59" s="740" t="str">
        <f ca="1">IF(ROWS($1:46)&gt;COUNT(Dong14),"",OFFSET(TH!C$1,SMALL(Dong14,ROWS($1:46)),))</f>
        <v/>
      </c>
      <c r="B59" s="740" t="str">
        <f ca="1">IF(ROWS($1:46)&gt;COUNT(Dong14),"",OFFSET(TH!D$1,SMALL(Dong14,ROWS($1:46)),))</f>
        <v/>
      </c>
      <c r="C59" s="740" t="str">
        <f ca="1">IF(ROWS($1:46)&gt;COUNT(Dong14),"",OFFSET(TH!E$1,SMALL(Dong14,ROWS($1:46)),))</f>
        <v/>
      </c>
      <c r="D59" s="741" t="str">
        <f ca="1">IF(ROWS($1:46)&gt;COUNT(Dong14),"",OFFSET(TH!F$1,SMALL(Dong14,ROWS($1:46)),))</f>
        <v/>
      </c>
      <c r="E59" s="742" t="str">
        <f ca="1">IF(ROWS($1:46)&gt;COUNT(Dong14),"",IF(OFFSET(TH!L$1,SMALL(Dong14,ROWS($1:46)),)="331",OFFSET(TH!M$1,SMALL(Dong14,ROWS($1:46)),),OFFSET(TH!L$1,SMALL(Dong14,ROWS($1:46)),)))</f>
        <v/>
      </c>
      <c r="F59" s="743" t="str">
        <f ca="1">IF(ROWS($1:46)&gt;COUNT(Dong14),"",IF(OFFSET(TH!L$1,SMALL(Dong14,ROWS($1:46)),)="131",OFFSET(TH!K$1,SMALL(Dong14,ROWS($1:46)),),0))</f>
        <v/>
      </c>
      <c r="G59" s="743" t="str">
        <f ca="1">IF(ROWS($1:46)&gt;COUNT(Dong14),"",IF(OFFSET(TH!M$1,SMALL(Dong14,ROWS($1:46)),)="131",OFFSET(TH!K$1,SMALL(Dong14,ROWS($1:46)),),0))</f>
        <v/>
      </c>
      <c r="H59" s="744">
        <f t="shared" ca="1" si="0"/>
        <v>0</v>
      </c>
      <c r="I59" s="744">
        <f t="shared" ca="1" si="1"/>
        <v>0</v>
      </c>
    </row>
    <row r="60" spans="1:9" s="3" customFormat="1" ht="18" customHeight="1">
      <c r="A60" s="740" t="str">
        <f ca="1">IF(ROWS($1:47)&gt;COUNT(Dong14),"",OFFSET(TH!C$1,SMALL(Dong14,ROWS($1:47)),))</f>
        <v/>
      </c>
      <c r="B60" s="740" t="str">
        <f ca="1">IF(ROWS($1:47)&gt;COUNT(Dong14),"",OFFSET(TH!D$1,SMALL(Dong14,ROWS($1:47)),))</f>
        <v/>
      </c>
      <c r="C60" s="740" t="str">
        <f ca="1">IF(ROWS($1:47)&gt;COUNT(Dong14),"",OFFSET(TH!E$1,SMALL(Dong14,ROWS($1:47)),))</f>
        <v/>
      </c>
      <c r="D60" s="741" t="str">
        <f ca="1">IF(ROWS($1:47)&gt;COUNT(Dong14),"",OFFSET(TH!F$1,SMALL(Dong14,ROWS($1:47)),))</f>
        <v/>
      </c>
      <c r="E60" s="742" t="str">
        <f ca="1">IF(ROWS($1:47)&gt;COUNT(Dong14),"",IF(OFFSET(TH!L$1,SMALL(Dong14,ROWS($1:47)),)="331",OFFSET(TH!M$1,SMALL(Dong14,ROWS($1:47)),),OFFSET(TH!L$1,SMALL(Dong14,ROWS($1:47)),)))</f>
        <v/>
      </c>
      <c r="F60" s="743" t="str">
        <f ca="1">IF(ROWS($1:47)&gt;COUNT(Dong14),"",IF(OFFSET(TH!L$1,SMALL(Dong14,ROWS($1:47)),)="131",OFFSET(TH!K$1,SMALL(Dong14,ROWS($1:47)),),0))</f>
        <v/>
      </c>
      <c r="G60" s="743" t="str">
        <f ca="1">IF(ROWS($1:47)&gt;COUNT(Dong14),"",IF(OFFSET(TH!M$1,SMALL(Dong14,ROWS($1:47)),)="131",OFFSET(TH!K$1,SMALL(Dong14,ROWS($1:47)),),0))</f>
        <v/>
      </c>
      <c r="H60" s="744">
        <f t="shared" ca="1" si="0"/>
        <v>0</v>
      </c>
      <c r="I60" s="744">
        <f t="shared" ca="1" si="1"/>
        <v>0</v>
      </c>
    </row>
    <row r="61" spans="1:9" s="3" customFormat="1" ht="18" customHeight="1">
      <c r="A61" s="740"/>
      <c r="B61" s="740"/>
      <c r="C61" s="740"/>
      <c r="D61" s="741"/>
      <c r="E61" s="742"/>
      <c r="F61" s="743"/>
      <c r="G61" s="743"/>
      <c r="H61" s="744"/>
      <c r="I61" s="744"/>
    </row>
    <row r="62" spans="1:9" s="3" customFormat="1" ht="18" customHeight="1">
      <c r="A62" s="739"/>
      <c r="B62" s="657"/>
      <c r="C62" s="745"/>
      <c r="D62" s="738" t="s">
        <v>32</v>
      </c>
      <c r="E62" s="657" t="s">
        <v>19</v>
      </c>
      <c r="F62" s="746">
        <f ca="1">SUM(F14:F61)</f>
        <v>81035035</v>
      </c>
      <c r="G62" s="746">
        <f ca="1">SUM(G14:G61)</f>
        <v>65079192</v>
      </c>
      <c r="H62" s="746" t="s">
        <v>19</v>
      </c>
      <c r="I62" s="746" t="s">
        <v>19</v>
      </c>
    </row>
    <row r="63" spans="1:9" s="3" customFormat="1" ht="18" customHeight="1">
      <c r="A63" s="739"/>
      <c r="B63" s="657"/>
      <c r="C63" s="657"/>
      <c r="D63" s="738" t="s">
        <v>10</v>
      </c>
      <c r="E63" s="657" t="s">
        <v>19</v>
      </c>
      <c r="F63" s="746" t="s">
        <v>19</v>
      </c>
      <c r="G63" s="746" t="s">
        <v>19</v>
      </c>
      <c r="H63" s="746">
        <f ca="1">MAX(H13+F62-G62-I13,0)</f>
        <v>15955843</v>
      </c>
      <c r="I63" s="746">
        <f ca="1">MAX(I13+G62-F62-H13,0)</f>
        <v>0</v>
      </c>
    </row>
    <row r="64" spans="1:9" s="3" customFormat="1" ht="6" customHeight="1">
      <c r="B64" s="641"/>
      <c r="C64" s="641"/>
      <c r="E64" s="641"/>
    </row>
    <row r="65" spans="1:9" s="3" customFormat="1" ht="14.25" customHeight="1">
      <c r="A65" s="747" t="s">
        <v>146</v>
      </c>
      <c r="B65" s="641"/>
      <c r="C65" s="641"/>
      <c r="E65" s="641"/>
    </row>
    <row r="66" spans="1:9" s="3" customFormat="1" ht="14.25" customHeight="1">
      <c r="A66" s="747" t="str">
        <f ca="1">"- Ngày mở sổ: "&amp;DAY($A$14)&amp;"/"&amp;MONTH($A$14)&amp;"/ " &amp;YEAR($A$14)</f>
        <v>- Ngày mở sổ: 15/7/ 2016</v>
      </c>
      <c r="B66" s="641"/>
      <c r="C66" s="641"/>
      <c r="E66" s="641"/>
    </row>
    <row r="67" spans="1:9" s="3" customFormat="1" ht="14.25" customHeight="1">
      <c r="B67" s="641"/>
      <c r="C67" s="641"/>
      <c r="E67" s="836" t="str">
        <f ca="1">"Ngày 31 tháng  12  năm  "&amp;YEAR($A$14)</f>
        <v>Ngày 31 tháng  12  năm  2016</v>
      </c>
      <c r="F67" s="836"/>
      <c r="G67" s="836"/>
      <c r="H67" s="836"/>
      <c r="I67" s="836"/>
    </row>
    <row r="68" spans="1:9" s="3" customFormat="1" ht="14.25" customHeight="1">
      <c r="C68" s="641" t="s">
        <v>11</v>
      </c>
      <c r="E68" s="836" t="s">
        <v>12</v>
      </c>
      <c r="F68" s="836"/>
      <c r="G68" s="836"/>
      <c r="H68" s="836"/>
      <c r="I68" s="836"/>
    </row>
    <row r="69" spans="1:9" s="3" customFormat="1" ht="14.25" customHeight="1">
      <c r="C69" s="641" t="s">
        <v>13</v>
      </c>
      <c r="E69" s="836" t="s">
        <v>13</v>
      </c>
      <c r="F69" s="836"/>
      <c r="G69" s="836"/>
      <c r="H69" s="836"/>
      <c r="I69" s="836"/>
    </row>
  </sheetData>
  <autoFilter ref="A12:I25"/>
  <mergeCells count="14">
    <mergeCell ref="G1:I1"/>
    <mergeCell ref="G2:I3"/>
    <mergeCell ref="A4:I4"/>
    <mergeCell ref="C9:I9"/>
    <mergeCell ref="E7:H7"/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4" sqref="B14"/>
    </sheetView>
  </sheetViews>
  <sheetFormatPr defaultColWidth="8" defaultRowHeight="14.25"/>
  <cols>
    <col min="1" max="1" width="4.7109375" style="720" customWidth="1"/>
    <col min="2" max="2" width="43.42578125" style="720" customWidth="1"/>
    <col min="3" max="4" width="9" style="720" customWidth="1"/>
    <col min="5" max="6" width="16.42578125" style="720" customWidth="1"/>
    <col min="7" max="7" width="9.28515625" style="720" customWidth="1"/>
    <col min="8" max="8" width="16.42578125" style="720" customWidth="1"/>
    <col min="9" max="16384" width="8" style="720"/>
  </cols>
  <sheetData>
    <row r="1" spans="1:9">
      <c r="A1" s="380" t="str">
        <f>TH!$A$1</f>
        <v>Đơn vị: CÔNG TY TNHH BAO BÌ GIẤY KIM DUNG PHÁT</v>
      </c>
    </row>
    <row r="2" spans="1:9" ht="15">
      <c r="A2" s="407" t="str">
        <f>TH!$A$2</f>
        <v>Địa chỉ: Ấp Rừng Sến, xã Mỹ Hạnh Bắc, Huyện Đức Hòa, Tỉnh Long An, Việt Nam</v>
      </c>
    </row>
    <row r="3" spans="1:9" ht="27" customHeight="1">
      <c r="A3" s="870" t="s">
        <v>98</v>
      </c>
      <c r="B3" s="870"/>
      <c r="C3" s="870"/>
      <c r="D3" s="870"/>
      <c r="E3" s="870"/>
      <c r="F3" s="870"/>
      <c r="G3" s="870"/>
      <c r="H3" s="870"/>
    </row>
    <row r="4" spans="1:9" s="721" customFormat="1" ht="23.25" customHeight="1">
      <c r="A4" s="871" t="s">
        <v>34</v>
      </c>
      <c r="B4" s="873" t="s">
        <v>35</v>
      </c>
      <c r="C4" s="875" t="s">
        <v>36</v>
      </c>
      <c r="D4" s="876"/>
      <c r="E4" s="875" t="s">
        <v>37</v>
      </c>
      <c r="F4" s="876"/>
      <c r="G4" s="875" t="s">
        <v>40</v>
      </c>
      <c r="H4" s="876"/>
    </row>
    <row r="5" spans="1:9" s="721" customFormat="1" ht="23.25" customHeight="1">
      <c r="A5" s="872"/>
      <c r="B5" s="874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9" s="721" customFormat="1" ht="23.25" customHeight="1">
      <c r="A6" s="723">
        <f>IF(B6&lt;&gt;"",ROW()-5,"")</f>
        <v>1</v>
      </c>
      <c r="B6" s="724" t="s">
        <v>396</v>
      </c>
      <c r="C6" s="725"/>
      <c r="D6" s="725"/>
      <c r="E6" s="725">
        <f t="array" ref="E6">SUM(IF("331"&amp;B6=KHN&amp;KH,TH))</f>
        <v>95500000</v>
      </c>
      <c r="F6" s="725">
        <f t="array" ref="F6">SUM(IF("331"&amp;B6=KHC&amp;KH,TH))</f>
        <v>377864740</v>
      </c>
      <c r="G6" s="726">
        <f t="shared" ref="G6:G10" si="0">ROUND(MAX(C6+E6-D6-F6,0),2)</f>
        <v>0</v>
      </c>
      <c r="H6" s="726">
        <f t="shared" ref="H6:H10" si="1">ROUND(MAX(D6+F6-C6-E6,0),2)</f>
        <v>282364740</v>
      </c>
      <c r="I6" s="721" t="str">
        <f>IF(ISNA(VLOOKUP(B6,[2]!DSKH,1,0)),"","x")</f>
        <v/>
      </c>
    </row>
    <row r="7" spans="1:9" s="721" customFormat="1" ht="23.25" customHeight="1">
      <c r="A7" s="723">
        <f t="shared" ref="A7:A13" si="2">IF(B7&lt;&gt;"",ROW()-5,"")</f>
        <v>2</v>
      </c>
      <c r="B7" s="724" t="s">
        <v>397</v>
      </c>
      <c r="C7" s="725"/>
      <c r="D7" s="725"/>
      <c r="E7" s="725">
        <f t="array" ref="E7">SUM(IF("331"&amp;B7=KHN&amp;KH,TH))</f>
        <v>341000000</v>
      </c>
      <c r="F7" s="725">
        <f t="array" ref="F7">SUM(IF("331"&amp;B7=KHC&amp;KH,TH))</f>
        <v>674384700</v>
      </c>
      <c r="G7" s="726">
        <f t="shared" si="0"/>
        <v>0</v>
      </c>
      <c r="H7" s="726">
        <f t="shared" si="1"/>
        <v>333384700</v>
      </c>
      <c r="I7" s="721" t="str">
        <f>IF(ISNA(VLOOKUP(B7,[2]!DSKH,1,0)),"","x")</f>
        <v/>
      </c>
    </row>
    <row r="8" spans="1:9" s="721" customFormat="1" ht="23.25" customHeight="1">
      <c r="A8" s="723">
        <f>IF(B8&lt;&gt;"",ROW()-5,"")</f>
        <v>3</v>
      </c>
      <c r="B8" s="728" t="s">
        <v>879</v>
      </c>
      <c r="C8" s="725"/>
      <c r="D8" s="725"/>
      <c r="E8" s="725">
        <f t="array" ref="E8">SUM(IF("331"&amp;B8=KHN&amp;KH,TH))</f>
        <v>0</v>
      </c>
      <c r="F8" s="725">
        <f t="array" ref="F8">SUM(IF("331"&amp;B8=KHC&amp;KH,TH))</f>
        <v>514668000</v>
      </c>
      <c r="G8" s="726">
        <f>ROUND(MAX(C8+E8-D8-F8,0),2)</f>
        <v>0</v>
      </c>
      <c r="H8" s="726">
        <f>ROUND(MAX(D8+F8-C8-E8,0),2)</f>
        <v>514668000</v>
      </c>
    </row>
    <row r="9" spans="1:9" s="721" customFormat="1" ht="23.25" customHeight="1">
      <c r="A9" s="723">
        <f t="shared" si="2"/>
        <v>4</v>
      </c>
      <c r="B9" s="728" t="s">
        <v>440</v>
      </c>
      <c r="C9" s="725"/>
      <c r="D9" s="725"/>
      <c r="E9" s="725">
        <f t="array" ref="E9">SUM(IF("331"&amp;B9=KHN&amp;KH,TH))</f>
        <v>103992460</v>
      </c>
      <c r="F9" s="725">
        <f t="array" ref="F9">SUM(IF("331"&amp;B9=KHC&amp;KH,TH))</f>
        <v>103992460</v>
      </c>
      <c r="G9" s="726">
        <f t="shared" si="0"/>
        <v>0</v>
      </c>
      <c r="H9" s="726">
        <f t="shared" si="1"/>
        <v>0</v>
      </c>
      <c r="I9" s="721" t="str">
        <f>IF(ISNA(VLOOKUP(B9,[2]!DSKH,1,0)),"","x")</f>
        <v/>
      </c>
    </row>
    <row r="10" spans="1:9" s="721" customFormat="1" ht="23.25" customHeight="1">
      <c r="A10" s="723">
        <f t="shared" si="2"/>
        <v>5</v>
      </c>
      <c r="B10" s="728" t="s">
        <v>622</v>
      </c>
      <c r="C10" s="725"/>
      <c r="D10" s="725"/>
      <c r="E10" s="725">
        <f t="array" ref="E10">SUM(IF("331"&amp;B10=KHN&amp;KH,TH))</f>
        <v>244200000</v>
      </c>
      <c r="F10" s="725">
        <f t="array" ref="F10">SUM(IF("331"&amp;B10=KHC&amp;KH,TH))</f>
        <v>244200000</v>
      </c>
      <c r="G10" s="726">
        <f t="shared" si="0"/>
        <v>0</v>
      </c>
      <c r="H10" s="726">
        <f t="shared" si="1"/>
        <v>0</v>
      </c>
      <c r="I10" s="721" t="str">
        <f>IF(ISNA(VLOOKUP(B10,[2]!DSKH,1,0)),"","x")</f>
        <v/>
      </c>
    </row>
    <row r="11" spans="1:9" s="721" customFormat="1" ht="23.25" customHeight="1">
      <c r="A11" s="723">
        <f t="shared" si="2"/>
        <v>6</v>
      </c>
      <c r="B11" s="728" t="s">
        <v>778</v>
      </c>
      <c r="C11" s="725"/>
      <c r="D11" s="725"/>
      <c r="E11" s="725">
        <f t="array" ref="E11">SUM(IF("331"&amp;B11=KHN&amp;KH,TH))</f>
        <v>103583150</v>
      </c>
      <c r="F11" s="725">
        <f t="array" ref="F11">SUM(IF("331"&amp;B11=KHC&amp;KH,TH))</f>
        <v>103583150</v>
      </c>
      <c r="G11" s="726">
        <f t="shared" ref="G11:G13" si="3">ROUND(MAX(C11+E11-D11-F11,0),2)</f>
        <v>0</v>
      </c>
      <c r="H11" s="726">
        <f t="shared" ref="H11:H13" si="4">ROUND(MAX(D11+F11-C11-E11,0),2)</f>
        <v>0</v>
      </c>
    </row>
    <row r="12" spans="1:9" s="721" customFormat="1" ht="23.25" customHeight="1">
      <c r="A12" s="723">
        <f t="shared" si="2"/>
        <v>7</v>
      </c>
      <c r="B12" s="728" t="s">
        <v>986</v>
      </c>
      <c r="C12" s="725"/>
      <c r="D12" s="725"/>
      <c r="E12" s="725">
        <f t="array" ref="E12">SUM(IF("331"&amp;B12=KHN&amp;KH,TH))</f>
        <v>0</v>
      </c>
      <c r="F12" s="725">
        <f t="array" ref="F12">SUM(IF("331"&amp;B12=KHC&amp;KH,TH))</f>
        <v>924000000</v>
      </c>
      <c r="G12" s="726">
        <f t="shared" si="3"/>
        <v>0</v>
      </c>
      <c r="H12" s="726">
        <f t="shared" si="4"/>
        <v>924000000</v>
      </c>
    </row>
    <row r="13" spans="1:9" s="721" customFormat="1" ht="23.25" customHeight="1">
      <c r="A13" s="723">
        <f t="shared" si="2"/>
        <v>8</v>
      </c>
      <c r="B13" s="728" t="s">
        <v>861</v>
      </c>
      <c r="C13" s="725"/>
      <c r="D13" s="725"/>
      <c r="E13" s="725">
        <f t="array" ref="E13">SUM(IF("331"&amp;B13=KHN&amp;KH,TH))</f>
        <v>63530500</v>
      </c>
      <c r="F13" s="725">
        <f t="array" ref="F13">SUM(IF("331"&amp;B13=KHC&amp;KH,TH))</f>
        <v>63530500</v>
      </c>
      <c r="G13" s="726">
        <f t="shared" si="3"/>
        <v>0</v>
      </c>
      <c r="H13" s="726">
        <f t="shared" si="4"/>
        <v>0</v>
      </c>
    </row>
    <row r="14" spans="1:9" s="721" customFormat="1" ht="23.25" customHeight="1">
      <c r="A14" s="723">
        <f t="shared" ref="A14" si="5">IF(B14&lt;&gt;"",ROW()-5,"")</f>
        <v>9</v>
      </c>
      <c r="B14" s="728" t="s">
        <v>1075</v>
      </c>
      <c r="C14" s="725"/>
      <c r="D14" s="725"/>
      <c r="E14" s="725">
        <f t="array" ref="E14">SUM(IF("331"&amp;B14=KHN&amp;KH,TH))</f>
        <v>50000000</v>
      </c>
      <c r="F14" s="725">
        <f t="array" ref="F14">SUM(IF("331"&amp;B14=KHC&amp;KH,TH))</f>
        <v>139236240</v>
      </c>
      <c r="G14" s="726">
        <f t="shared" ref="G14" si="6">ROUND(MAX(C14+E14-D14-F14,0),2)</f>
        <v>0</v>
      </c>
      <c r="H14" s="726">
        <f t="shared" ref="H14" si="7">ROUND(MAX(D14+F14-C14-E14,0),2)</f>
        <v>89236240</v>
      </c>
    </row>
    <row r="15" spans="1:9" s="721" customFormat="1" ht="23.25" customHeight="1">
      <c r="A15" s="723" t="str">
        <f>IF(B15&lt;&gt;"",ROW()-3,"")</f>
        <v/>
      </c>
      <c r="B15" s="730"/>
      <c r="C15" s="725"/>
      <c r="D15" s="725"/>
      <c r="E15" s="749"/>
      <c r="F15" s="749"/>
      <c r="G15" s="750"/>
      <c r="H15" s="750"/>
      <c r="I15" s="721" t="str">
        <f>IF(ISNA(VLOOKUP(B15,[2]!DSKH,1,0)),"","x")</f>
        <v/>
      </c>
    </row>
    <row r="16" spans="1:9" s="734" customFormat="1" ht="23.25" customHeight="1">
      <c r="A16" s="731"/>
      <c r="B16" s="732" t="s">
        <v>38</v>
      </c>
      <c r="C16" s="733">
        <f t="shared" ref="C16:H16" si="8">SUM(C6:C15)</f>
        <v>0</v>
      </c>
      <c r="D16" s="733">
        <f t="shared" si="8"/>
        <v>0</v>
      </c>
      <c r="E16" s="733">
        <f t="shared" si="8"/>
        <v>1001806110</v>
      </c>
      <c r="F16" s="733">
        <f t="shared" si="8"/>
        <v>3145459790</v>
      </c>
      <c r="G16" s="733">
        <f t="shared" si="8"/>
        <v>0</v>
      </c>
      <c r="H16" s="733">
        <f t="shared" si="8"/>
        <v>2143653680</v>
      </c>
    </row>
    <row r="17" spans="3:8">
      <c r="C17" s="735"/>
      <c r="D17" s="735">
        <f>D16-C16-CDPS!D28</f>
        <v>0</v>
      </c>
      <c r="E17" s="735">
        <f>E16-CDPS!E28</f>
        <v>0</v>
      </c>
      <c r="F17" s="735">
        <f>F16-CDPS!F28</f>
        <v>0</v>
      </c>
      <c r="H17" s="735">
        <f>H16-G16-CDPS!H28</f>
        <v>0</v>
      </c>
    </row>
    <row r="18" spans="3:8" ht="15">
      <c r="E18" s="736"/>
      <c r="F18" s="869" t="str">
        <f>"Ngày 31 tháng  12  năm  "&amp;YEAR(TH!$C$10)</f>
        <v>Ngày 31 tháng  12  năm  2016</v>
      </c>
      <c r="G18" s="869"/>
      <c r="H18" s="869"/>
    </row>
    <row r="19" spans="3:8" ht="15">
      <c r="F19" s="869" t="s">
        <v>104</v>
      </c>
      <c r="G19" s="869"/>
      <c r="H19" s="869"/>
    </row>
    <row r="20" spans="3:8" ht="15">
      <c r="E20" s="735"/>
      <c r="F20" s="869" t="s">
        <v>131</v>
      </c>
      <c r="G20" s="869"/>
      <c r="H20" s="869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748" customWidth="1"/>
    <col min="2" max="2" width="8.28515625" style="748" customWidth="1"/>
    <col min="3" max="3" width="9.140625" style="748" customWidth="1"/>
    <col min="4" max="4" width="30.28515625" style="748" customWidth="1"/>
    <col min="5" max="5" width="6.85546875" style="748" customWidth="1"/>
    <col min="6" max="9" width="14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9" t="s">
        <v>45</v>
      </c>
      <c r="H1" s="839"/>
      <c r="I1" s="839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</row>
    <row r="3" spans="1:9" s="293" customFormat="1" ht="14.25" customHeight="1">
      <c r="A3" s="403"/>
      <c r="B3" s="640"/>
      <c r="C3" s="640"/>
      <c r="F3" s="6"/>
      <c r="G3" s="840"/>
      <c r="H3" s="840"/>
      <c r="I3" s="840"/>
    </row>
    <row r="4" spans="1:9" s="3" customFormat="1" ht="28.5" customHeight="1">
      <c r="A4" s="841" t="s">
        <v>26</v>
      </c>
      <c r="B4" s="841"/>
      <c r="C4" s="841"/>
      <c r="D4" s="841"/>
      <c r="E4" s="841"/>
      <c r="F4" s="841"/>
      <c r="G4" s="841"/>
      <c r="H4" s="841"/>
      <c r="I4" s="841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28</v>
      </c>
    </row>
    <row r="7" spans="1:9" s="3" customFormat="1" ht="16.5" customHeight="1">
      <c r="D7" s="106" t="s">
        <v>44</v>
      </c>
      <c r="E7" s="880" t="s">
        <v>622</v>
      </c>
      <c r="F7" s="880"/>
      <c r="G7" s="880"/>
      <c r="H7" s="880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5"/>
      <c r="D9" s="845"/>
      <c r="E9" s="845"/>
      <c r="F9" s="845"/>
      <c r="G9" s="845"/>
      <c r="H9" s="845"/>
      <c r="I9" s="845"/>
    </row>
    <row r="10" spans="1:9" s="3" customFormat="1" ht="14.25" customHeight="1">
      <c r="A10" s="846" t="s">
        <v>20</v>
      </c>
      <c r="B10" s="877" t="s">
        <v>1</v>
      </c>
      <c r="C10" s="877"/>
      <c r="D10" s="846" t="s">
        <v>0</v>
      </c>
      <c r="E10" s="846" t="s">
        <v>14</v>
      </c>
      <c r="F10" s="878" t="s">
        <v>21</v>
      </c>
      <c r="G10" s="879"/>
      <c r="H10" s="878" t="s">
        <v>30</v>
      </c>
      <c r="I10" s="879"/>
    </row>
    <row r="11" spans="1:9" s="3" customFormat="1" ht="24.75" customHeight="1">
      <c r="A11" s="846"/>
      <c r="B11" s="737" t="s">
        <v>15</v>
      </c>
      <c r="C11" s="737" t="s">
        <v>31</v>
      </c>
      <c r="D11" s="846"/>
      <c r="E11" s="846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VLOOKUP($E$7,'331'!$B$6:$H$15,2,0)</f>
        <v>0</v>
      </c>
      <c r="I13" s="519">
        <f>VLOOKUP($E$7,'331'!$B$6:$H$15,3,0)</f>
        <v>0</v>
      </c>
    </row>
    <row r="14" spans="1:9" s="3" customFormat="1" ht="18" customHeight="1">
      <c r="A14" s="740">
        <f ca="1">IF(ROWS($1:1)&gt;COUNT(Dong),"",OFFSET(TH!C$1,SMALL(Dong,ROWS($1:1)),))</f>
        <v>42559</v>
      </c>
      <c r="B14" s="740" t="str">
        <f ca="1">IF(ROWS($1:1)&gt;COUNT(Dong),"",OFFSET(TH!D$1,SMALL(Dong,ROWS($1:1)),))</f>
        <v>GBN</v>
      </c>
      <c r="C14" s="740">
        <f ca="1">IF(ROWS($1:1)&gt;COUNT(Dong),"",OFFSET(TH!E$1,SMALL(Dong,ROWS($1:1)),))</f>
        <v>42559</v>
      </c>
      <c r="D14" s="741" t="str">
        <f ca="1">IF(ROWS($1:1)&gt;COUNT(Dong),"",OFFSET(TH!F$1,SMALL(Dong,ROWS($1:1)),))</f>
        <v>Thanh toán tiền thuê kho</v>
      </c>
      <c r="E14" s="742" t="str">
        <f ca="1">IF(ROWS($1:1)&gt;COUNT(Dong),"",IF(OFFSET(TH!L$1,SMALL(Dong,ROWS($1:1)),)="331",OFFSET(TH!M$1,SMALL(Dong,ROWS($1:1)),),OFFSET(TH!L$1,SMALL(Dong,ROWS($1:1)),)))</f>
        <v>1121</v>
      </c>
      <c r="F14" s="743">
        <f ca="1">IF(ROWS($1:1)&gt;COUNT(Dong),"",IF(OFFSET(TH!L$1,SMALL(Dong,ROWS($1:1)),)="331",OFFSET(TH!K$1,SMALL(Dong,ROWS($1:1)),),0))</f>
        <v>40700000</v>
      </c>
      <c r="G14" s="743">
        <f ca="1">IF(ROWS($1:1)&gt;COUNT(Dong),"",IF(OFFSET(TH!M$1,SMALL(Dong,ROWS($1:1)),)="331",OFFSET(TH!K$1,SMALL(Dong,ROWS($1:1)),),0))</f>
        <v>0</v>
      </c>
      <c r="H14" s="744">
        <f t="shared" ref="H14:H49" ca="1" si="0">IF(D14&lt;&gt;"",MAX(H13+F14-G14-I13,0),0)</f>
        <v>40700000</v>
      </c>
      <c r="I14" s="744">
        <f t="shared" ref="I14:I49" ca="1" si="1">IF(D14&lt;&gt;"",MAX(I13+G14-H13-F14,0),0)</f>
        <v>0</v>
      </c>
    </row>
    <row r="15" spans="1:9" s="3" customFormat="1" ht="18" customHeight="1">
      <c r="A15" s="740">
        <f ca="1">IF(ROWS($1:2)&gt;COUNT(Dong),"",OFFSET(TH!C$1,SMALL(Dong,ROWS($1:2)),))</f>
        <v>42601</v>
      </c>
      <c r="B15" s="740" t="str">
        <f ca="1">IF(ROWS($1:2)&gt;COUNT(Dong),"",OFFSET(TH!D$1,SMALL(Dong,ROWS($1:2)),))</f>
        <v>GBN</v>
      </c>
      <c r="C15" s="740">
        <f ca="1">IF(ROWS($1:2)&gt;COUNT(Dong),"",OFFSET(TH!E$1,SMALL(Dong,ROWS($1:2)),))</f>
        <v>42601</v>
      </c>
      <c r="D15" s="741" t="str">
        <f ca="1">IF(ROWS($1:2)&gt;COUNT(Dong),"",OFFSET(TH!F$1,SMALL(Dong,ROWS($1:2)),))</f>
        <v>Thanh toán tiền thuê kho</v>
      </c>
      <c r="E15" s="742" t="str">
        <f ca="1">IF(ROWS($1:2)&gt;COUNT(Dong),"",IF(OFFSET(TH!L$1,SMALL(Dong,ROWS($1:2)),)="331",OFFSET(TH!M$1,SMALL(Dong,ROWS($1:2)),),OFFSET(TH!L$1,SMALL(Dong,ROWS($1:2)),)))</f>
        <v>1121</v>
      </c>
      <c r="F15" s="743">
        <f ca="1">IF(ROWS($1:2)&gt;COUNT(Dong),"",IF(OFFSET(TH!L$1,SMALL(Dong,ROWS($1:2)),)="331",OFFSET(TH!K$1,SMALL(Dong,ROWS($1:2)),),0))</f>
        <v>40700000</v>
      </c>
      <c r="G15" s="743">
        <f ca="1">IF(ROWS($1:2)&gt;COUNT(Dong),"",IF(OFFSET(TH!M$1,SMALL(Dong,ROWS($1:2)),)="331",OFFSET(TH!K$1,SMALL(Dong,ROWS($1:2)),),0))</f>
        <v>0</v>
      </c>
      <c r="H15" s="744">
        <f t="shared" ca="1" si="0"/>
        <v>81400000</v>
      </c>
      <c r="I15" s="744">
        <f t="shared" ca="1" si="1"/>
        <v>0</v>
      </c>
    </row>
    <row r="16" spans="1:9" s="3" customFormat="1" ht="18" customHeight="1">
      <c r="A16" s="740">
        <f ca="1">IF(ROWS($1:3)&gt;COUNT(Dong),"",OFFSET(TH!C$1,SMALL(Dong,ROWS($1:3)),))</f>
        <v>42625</v>
      </c>
      <c r="B16" s="740" t="str">
        <f ca="1">IF(ROWS($1:3)&gt;COUNT(Dong),"",OFFSET(TH!D$1,SMALL(Dong,ROWS($1:3)),))</f>
        <v>GBN</v>
      </c>
      <c r="C16" s="740">
        <f ca="1">IF(ROWS($1:3)&gt;COUNT(Dong),"",OFFSET(TH!E$1,SMALL(Dong,ROWS($1:3)),))</f>
        <v>42625</v>
      </c>
      <c r="D16" s="741" t="str">
        <f ca="1">IF(ROWS($1:3)&gt;COUNT(Dong),"",OFFSET(TH!F$1,SMALL(Dong,ROWS($1:3)),))</f>
        <v>Thanh toán tiền thuê kho</v>
      </c>
      <c r="E16" s="742" t="str">
        <f ca="1">IF(ROWS($1:3)&gt;COUNT(Dong),"",IF(OFFSET(TH!L$1,SMALL(Dong,ROWS($1:3)),)="331",OFFSET(TH!M$1,SMALL(Dong,ROWS($1:3)),),OFFSET(TH!L$1,SMALL(Dong,ROWS($1:3)),)))</f>
        <v>1121</v>
      </c>
      <c r="F16" s="743">
        <f ca="1">IF(ROWS($1:3)&gt;COUNT(Dong),"",IF(OFFSET(TH!L$1,SMALL(Dong,ROWS($1:3)),)="331",OFFSET(TH!K$1,SMALL(Dong,ROWS($1:3)),),0))</f>
        <v>20700000</v>
      </c>
      <c r="G16" s="743">
        <f ca="1">IF(ROWS($1:3)&gt;COUNT(Dong),"",IF(OFFSET(TH!M$1,SMALL(Dong,ROWS($1:3)),)="331",OFFSET(TH!K$1,SMALL(Dong,ROWS($1:3)),),0))</f>
        <v>0</v>
      </c>
      <c r="H16" s="744">
        <f t="shared" ca="1" si="0"/>
        <v>102100000</v>
      </c>
      <c r="I16" s="744">
        <f t="shared" ca="1" si="1"/>
        <v>0</v>
      </c>
    </row>
    <row r="17" spans="1:9" s="3" customFormat="1" ht="18" customHeight="1">
      <c r="A17" s="740">
        <f ca="1">IF(ROWS($1:4)&gt;COUNT(Dong),"",OFFSET(TH!C$1,SMALL(Dong,ROWS($1:4)),))</f>
        <v>42633</v>
      </c>
      <c r="B17" s="740" t="str">
        <f ca="1">IF(ROWS($1:4)&gt;COUNT(Dong),"",OFFSET(TH!D$1,SMALL(Dong,ROWS($1:4)),))</f>
        <v>GBN</v>
      </c>
      <c r="C17" s="740">
        <f ca="1">IF(ROWS($1:4)&gt;COUNT(Dong),"",OFFSET(TH!E$1,SMALL(Dong,ROWS($1:4)),))</f>
        <v>42633</v>
      </c>
      <c r="D17" s="741" t="str">
        <f ca="1">IF(ROWS($1:4)&gt;COUNT(Dong),"",OFFSET(TH!F$1,SMALL(Dong,ROWS($1:4)),))</f>
        <v>Thanh toán tiền thuê kho</v>
      </c>
      <c r="E17" s="742" t="str">
        <f ca="1">IF(ROWS($1:4)&gt;COUNT(Dong),"",IF(OFFSET(TH!L$1,SMALL(Dong,ROWS($1:4)),)="331",OFFSET(TH!M$1,SMALL(Dong,ROWS($1:4)),),OFFSET(TH!L$1,SMALL(Dong,ROWS($1:4)),)))</f>
        <v>1121</v>
      </c>
      <c r="F17" s="743">
        <f ca="1">IF(ROWS($1:4)&gt;COUNT(Dong),"",IF(OFFSET(TH!L$1,SMALL(Dong,ROWS($1:4)),)="331",OFFSET(TH!K$1,SMALL(Dong,ROWS($1:4)),),0))</f>
        <v>20000000</v>
      </c>
      <c r="G17" s="743">
        <f ca="1">IF(ROWS($1:4)&gt;COUNT(Dong),"",IF(OFFSET(TH!M$1,SMALL(Dong,ROWS($1:4)),)="331",OFFSET(TH!K$1,SMALL(Dong,ROWS($1:4)),),0))</f>
        <v>0</v>
      </c>
      <c r="H17" s="744">
        <f t="shared" ca="1" si="0"/>
        <v>122100000</v>
      </c>
      <c r="I17" s="744">
        <f t="shared" ca="1" si="1"/>
        <v>0</v>
      </c>
    </row>
    <row r="18" spans="1:9" s="3" customFormat="1" ht="18" customHeight="1">
      <c r="A18" s="740">
        <f ca="1">IF(ROWS($1:5)&gt;COUNT(Dong),"",OFFSET(TH!C$1,SMALL(Dong,ROWS($1:5)),))</f>
        <v>42643</v>
      </c>
      <c r="B18" s="740" t="str">
        <f ca="1">IF(ROWS($1:5)&gt;COUNT(Dong),"",OFFSET(TH!D$1,SMALL(Dong,ROWS($1:5)),))</f>
        <v>CTGS</v>
      </c>
      <c r="C18" s="740">
        <f ca="1">IF(ROWS($1:5)&gt;COUNT(Dong),"",OFFSET(TH!E$1,SMALL(Dong,ROWS($1:5)),))</f>
        <v>42576</v>
      </c>
      <c r="D18" s="741" t="str">
        <f ca="1">IF(ROWS($1:5)&gt;COUNT(Dong),"",OFFSET(TH!F$1,SMALL(Dong,ROWS($1:5)),))</f>
        <v>Tiền thuê xưởng T07/2016</v>
      </c>
      <c r="E18" s="742" t="str">
        <f ca="1">IF(ROWS($1:5)&gt;COUNT(Dong),"",IF(OFFSET(TH!L$1,SMALL(Dong,ROWS($1:5)),)="331",OFFSET(TH!M$1,SMALL(Dong,ROWS($1:5)),),OFFSET(TH!L$1,SMALL(Dong,ROWS($1:5)),)))</f>
        <v>642</v>
      </c>
      <c r="F18" s="743">
        <f ca="1">IF(ROWS($1:5)&gt;COUNT(Dong),"",IF(OFFSET(TH!L$1,SMALL(Dong,ROWS($1:5)),)="331",OFFSET(TH!K$1,SMALL(Dong,ROWS($1:5)),),0))</f>
        <v>0</v>
      </c>
      <c r="G18" s="743">
        <f ca="1">IF(ROWS($1:5)&gt;COUNT(Dong),"",IF(OFFSET(TH!M$1,SMALL(Dong,ROWS($1:5)),)="331",OFFSET(TH!K$1,SMALL(Dong,ROWS($1:5)),),0))</f>
        <v>37000000</v>
      </c>
      <c r="H18" s="744">
        <f t="shared" ca="1" si="0"/>
        <v>85100000</v>
      </c>
      <c r="I18" s="744">
        <f t="shared" ca="1" si="1"/>
        <v>0</v>
      </c>
    </row>
    <row r="19" spans="1:9" s="3" customFormat="1" ht="18" customHeight="1">
      <c r="A19" s="740">
        <f ca="1">IF(ROWS($1:6)&gt;COUNT(Dong),"",OFFSET(TH!C$1,SMALL(Dong,ROWS($1:6)),))</f>
        <v>42643</v>
      </c>
      <c r="B19" s="740" t="str">
        <f ca="1">IF(ROWS($1:6)&gt;COUNT(Dong),"",OFFSET(TH!D$1,SMALL(Dong,ROWS($1:6)),))</f>
        <v>CTGS</v>
      </c>
      <c r="C19" s="740">
        <f ca="1">IF(ROWS($1:6)&gt;COUNT(Dong),"",OFFSET(TH!E$1,SMALL(Dong,ROWS($1:6)),))</f>
        <v>42576</v>
      </c>
      <c r="D19" s="741" t="str">
        <f ca="1">IF(ROWS($1:6)&gt;COUNT(Dong),"",OFFSET(TH!F$1,SMALL(Dong,ROWS($1:6)),))</f>
        <v>VAT Tiền thuê xưởng</v>
      </c>
      <c r="E19" s="742" t="str">
        <f ca="1">IF(ROWS($1:6)&gt;COUNT(Dong),"",IF(OFFSET(TH!L$1,SMALL(Dong,ROWS($1:6)),)="331",OFFSET(TH!M$1,SMALL(Dong,ROWS($1:6)),),OFFSET(TH!L$1,SMALL(Dong,ROWS($1:6)),)))</f>
        <v>1331</v>
      </c>
      <c r="F19" s="743">
        <f ca="1">IF(ROWS($1:6)&gt;COUNT(Dong),"",IF(OFFSET(TH!L$1,SMALL(Dong,ROWS($1:6)),)="331",OFFSET(TH!K$1,SMALL(Dong,ROWS($1:6)),),0))</f>
        <v>0</v>
      </c>
      <c r="G19" s="743">
        <f ca="1">IF(ROWS($1:6)&gt;COUNT(Dong),"",IF(OFFSET(TH!M$1,SMALL(Dong,ROWS($1:6)),)="331",OFFSET(TH!K$1,SMALL(Dong,ROWS($1:6)),),0))</f>
        <v>3700000</v>
      </c>
      <c r="H19" s="744">
        <f t="shared" ca="1" si="0"/>
        <v>81400000</v>
      </c>
      <c r="I19" s="744">
        <f t="shared" ca="1" si="1"/>
        <v>0</v>
      </c>
    </row>
    <row r="20" spans="1:9" s="3" customFormat="1" ht="18" customHeight="1">
      <c r="A20" s="740">
        <f ca="1">IF(ROWS($1:7)&gt;COUNT(Dong),"",OFFSET(TH!C$1,SMALL(Dong,ROWS($1:7)),))</f>
        <v>42643</v>
      </c>
      <c r="B20" s="740" t="str">
        <f ca="1">IF(ROWS($1:7)&gt;COUNT(Dong),"",OFFSET(TH!D$1,SMALL(Dong,ROWS($1:7)),))</f>
        <v>CTGS</v>
      </c>
      <c r="C20" s="740">
        <f ca="1">IF(ROWS($1:7)&gt;COUNT(Dong),"",OFFSET(TH!E$1,SMALL(Dong,ROWS($1:7)),))</f>
        <v>42602</v>
      </c>
      <c r="D20" s="741" t="str">
        <f ca="1">IF(ROWS($1:7)&gt;COUNT(Dong),"",OFFSET(TH!F$1,SMALL(Dong,ROWS($1:7)),))</f>
        <v>Tiền thuê xưởng T08/2016</v>
      </c>
      <c r="E20" s="742" t="str">
        <f ca="1">IF(ROWS($1:7)&gt;COUNT(Dong),"",IF(OFFSET(TH!L$1,SMALL(Dong,ROWS($1:7)),)="331",OFFSET(TH!M$1,SMALL(Dong,ROWS($1:7)),),OFFSET(TH!L$1,SMALL(Dong,ROWS($1:7)),)))</f>
        <v>642</v>
      </c>
      <c r="F20" s="743">
        <f ca="1">IF(ROWS($1:7)&gt;COUNT(Dong),"",IF(OFFSET(TH!L$1,SMALL(Dong,ROWS($1:7)),)="331",OFFSET(TH!K$1,SMALL(Dong,ROWS($1:7)),),0))</f>
        <v>0</v>
      </c>
      <c r="G20" s="743">
        <f ca="1">IF(ROWS($1:7)&gt;COUNT(Dong),"",IF(OFFSET(TH!M$1,SMALL(Dong,ROWS($1:7)),)="331",OFFSET(TH!K$1,SMALL(Dong,ROWS($1:7)),),0))</f>
        <v>37000000</v>
      </c>
      <c r="H20" s="744">
        <f t="shared" ca="1" si="0"/>
        <v>44400000</v>
      </c>
      <c r="I20" s="744">
        <f t="shared" ca="1" si="1"/>
        <v>0</v>
      </c>
    </row>
    <row r="21" spans="1:9" s="3" customFormat="1" ht="18" customHeight="1">
      <c r="A21" s="740">
        <f ca="1">IF(ROWS($1:8)&gt;COUNT(Dong),"",OFFSET(TH!C$1,SMALL(Dong,ROWS($1:8)),))</f>
        <v>42643</v>
      </c>
      <c r="B21" s="740" t="str">
        <f ca="1">IF(ROWS($1:8)&gt;COUNT(Dong),"",OFFSET(TH!D$1,SMALL(Dong,ROWS($1:8)),))</f>
        <v>CTGS</v>
      </c>
      <c r="C21" s="740">
        <f ca="1">IF(ROWS($1:8)&gt;COUNT(Dong),"",OFFSET(TH!E$1,SMALL(Dong,ROWS($1:8)),))</f>
        <v>42602</v>
      </c>
      <c r="D21" s="741" t="str">
        <f ca="1">IF(ROWS($1:8)&gt;COUNT(Dong),"",OFFSET(TH!F$1,SMALL(Dong,ROWS($1:8)),))</f>
        <v>VAT Tiền thuê xưởng</v>
      </c>
      <c r="E21" s="742" t="str">
        <f ca="1">IF(ROWS($1:8)&gt;COUNT(Dong),"",IF(OFFSET(TH!L$1,SMALL(Dong,ROWS($1:8)),)="331",OFFSET(TH!M$1,SMALL(Dong,ROWS($1:8)),),OFFSET(TH!L$1,SMALL(Dong,ROWS($1:8)),)))</f>
        <v>1331</v>
      </c>
      <c r="F21" s="743">
        <f ca="1">IF(ROWS($1:8)&gt;COUNT(Dong),"",IF(OFFSET(TH!L$1,SMALL(Dong,ROWS($1:8)),)="331",OFFSET(TH!K$1,SMALL(Dong,ROWS($1:8)),),0))</f>
        <v>0</v>
      </c>
      <c r="G21" s="743">
        <f ca="1">IF(ROWS($1:8)&gt;COUNT(Dong),"",IF(OFFSET(TH!M$1,SMALL(Dong,ROWS($1:8)),)="331",OFFSET(TH!K$1,SMALL(Dong,ROWS($1:8)),),0))</f>
        <v>3700000</v>
      </c>
      <c r="H21" s="744">
        <f t="shared" ca="1" si="0"/>
        <v>40700000</v>
      </c>
      <c r="I21" s="744">
        <f t="shared" ca="1" si="1"/>
        <v>0</v>
      </c>
    </row>
    <row r="22" spans="1:9" s="3" customFormat="1" ht="18" customHeight="1">
      <c r="A22" s="740">
        <f ca="1">IF(ROWS($1:9)&gt;COUNT(Dong),"",OFFSET(TH!C$1,SMALL(Dong,ROWS($1:9)),))</f>
        <v>42643</v>
      </c>
      <c r="B22" s="740" t="str">
        <f ca="1">IF(ROWS($1:9)&gt;COUNT(Dong),"",OFFSET(TH!D$1,SMALL(Dong,ROWS($1:9)),))</f>
        <v>CTGS</v>
      </c>
      <c r="C22" s="740">
        <f ca="1">IF(ROWS($1:9)&gt;COUNT(Dong),"",OFFSET(TH!E$1,SMALL(Dong,ROWS($1:9)),))</f>
        <v>42638</v>
      </c>
      <c r="D22" s="741" t="str">
        <f ca="1">IF(ROWS($1:9)&gt;COUNT(Dong),"",OFFSET(TH!F$1,SMALL(Dong,ROWS($1:9)),))</f>
        <v>Tiền thuê xưởng T09/2016</v>
      </c>
      <c r="E22" s="742" t="str">
        <f ca="1">IF(ROWS($1:9)&gt;COUNT(Dong),"",IF(OFFSET(TH!L$1,SMALL(Dong,ROWS($1:9)),)="331",OFFSET(TH!M$1,SMALL(Dong,ROWS($1:9)),),OFFSET(TH!L$1,SMALL(Dong,ROWS($1:9)),)))</f>
        <v>642</v>
      </c>
      <c r="F22" s="743">
        <f ca="1">IF(ROWS($1:9)&gt;COUNT(Dong),"",IF(OFFSET(TH!L$1,SMALL(Dong,ROWS($1:9)),)="331",OFFSET(TH!K$1,SMALL(Dong,ROWS($1:9)),),0))</f>
        <v>0</v>
      </c>
      <c r="G22" s="743">
        <f ca="1">IF(ROWS($1:9)&gt;COUNT(Dong),"",IF(OFFSET(TH!M$1,SMALL(Dong,ROWS($1:9)),)="331",OFFSET(TH!K$1,SMALL(Dong,ROWS($1:9)),),0))</f>
        <v>37000000</v>
      </c>
      <c r="H22" s="744">
        <f t="shared" ca="1" si="0"/>
        <v>3700000</v>
      </c>
      <c r="I22" s="744">
        <f t="shared" ca="1" si="1"/>
        <v>0</v>
      </c>
    </row>
    <row r="23" spans="1:9" s="3" customFormat="1" ht="18" customHeight="1">
      <c r="A23" s="740">
        <f ca="1">IF(ROWS($1:10)&gt;COUNT(Dong),"",OFFSET(TH!C$1,SMALL(Dong,ROWS($1:10)),))</f>
        <v>42643</v>
      </c>
      <c r="B23" s="740" t="str">
        <f ca="1">IF(ROWS($1:10)&gt;COUNT(Dong),"",OFFSET(TH!D$1,SMALL(Dong,ROWS($1:10)),))</f>
        <v>CTGS</v>
      </c>
      <c r="C23" s="740">
        <f ca="1">IF(ROWS($1:10)&gt;COUNT(Dong),"",OFFSET(TH!E$1,SMALL(Dong,ROWS($1:10)),))</f>
        <v>42638</v>
      </c>
      <c r="D23" s="741" t="str">
        <f ca="1">IF(ROWS($1:10)&gt;COUNT(Dong),"",OFFSET(TH!F$1,SMALL(Dong,ROWS($1:10)),))</f>
        <v>VAT Tiền thuê xưởng</v>
      </c>
      <c r="E23" s="742" t="str">
        <f ca="1">IF(ROWS($1:10)&gt;COUNT(Dong),"",IF(OFFSET(TH!L$1,SMALL(Dong,ROWS($1:10)),)="331",OFFSET(TH!M$1,SMALL(Dong,ROWS($1:10)),),OFFSET(TH!L$1,SMALL(Dong,ROWS($1:10)),)))</f>
        <v>1331</v>
      </c>
      <c r="F23" s="743">
        <f ca="1">IF(ROWS($1:10)&gt;COUNT(Dong),"",IF(OFFSET(TH!L$1,SMALL(Dong,ROWS($1:10)),)="331",OFFSET(TH!K$1,SMALL(Dong,ROWS($1:10)),),0))</f>
        <v>0</v>
      </c>
      <c r="G23" s="743">
        <f ca="1">IF(ROWS($1:10)&gt;COUNT(Dong),"",IF(OFFSET(TH!M$1,SMALL(Dong,ROWS($1:10)),)="331",OFFSET(TH!K$1,SMALL(Dong,ROWS($1:10)),),0))</f>
        <v>3700000</v>
      </c>
      <c r="H23" s="744">
        <f t="shared" ca="1" si="0"/>
        <v>0</v>
      </c>
      <c r="I23" s="744">
        <f t="shared" ca="1" si="1"/>
        <v>0</v>
      </c>
    </row>
    <row r="24" spans="1:9" s="3" customFormat="1" ht="18" customHeight="1">
      <c r="A24" s="740">
        <f ca="1">IF(ROWS($1:11)&gt;COUNT(Dong),"",OFFSET(TH!C$1,SMALL(Dong,ROWS($1:11)),))</f>
        <v>42658</v>
      </c>
      <c r="B24" s="740" t="str">
        <f ca="1">IF(ROWS($1:11)&gt;COUNT(Dong),"",OFFSET(TH!D$1,SMALL(Dong,ROWS($1:11)),))</f>
        <v>CTGS</v>
      </c>
      <c r="C24" s="740">
        <f ca="1">IF(ROWS($1:11)&gt;COUNT(Dong),"",OFFSET(TH!E$1,SMALL(Dong,ROWS($1:11)),))</f>
        <v>42658</v>
      </c>
      <c r="D24" s="741" t="str">
        <f ca="1">IF(ROWS($1:11)&gt;COUNT(Dong),"",OFFSET(TH!F$1,SMALL(Dong,ROWS($1:11)),))</f>
        <v>Tiền thuê xưởng T10/2016</v>
      </c>
      <c r="E24" s="742" t="str">
        <f ca="1">IF(ROWS($1:11)&gt;COUNT(Dong),"",IF(OFFSET(TH!L$1,SMALL(Dong,ROWS($1:11)),)="331",OFFSET(TH!M$1,SMALL(Dong,ROWS($1:11)),),OFFSET(TH!L$1,SMALL(Dong,ROWS($1:11)),)))</f>
        <v>642</v>
      </c>
      <c r="F24" s="743">
        <f ca="1">IF(ROWS($1:11)&gt;COUNT(Dong),"",IF(OFFSET(TH!L$1,SMALL(Dong,ROWS($1:11)),)="331",OFFSET(TH!K$1,SMALL(Dong,ROWS($1:11)),),0))</f>
        <v>0</v>
      </c>
      <c r="G24" s="743">
        <f ca="1">IF(ROWS($1:11)&gt;COUNT(Dong),"",IF(OFFSET(TH!M$1,SMALL(Dong,ROWS($1:11)),)="331",OFFSET(TH!K$1,SMALL(Dong,ROWS($1:11)),),0))</f>
        <v>37000000</v>
      </c>
      <c r="H24" s="744">
        <f t="shared" ca="1" si="0"/>
        <v>0</v>
      </c>
      <c r="I24" s="744">
        <f t="shared" ca="1" si="1"/>
        <v>37000000</v>
      </c>
    </row>
    <row r="25" spans="1:9" s="3" customFormat="1" ht="18" customHeight="1">
      <c r="A25" s="740">
        <f ca="1">IF(ROWS($1:12)&gt;COUNT(Dong),"",OFFSET(TH!C$1,SMALL(Dong,ROWS($1:12)),))</f>
        <v>42658</v>
      </c>
      <c r="B25" s="740" t="str">
        <f ca="1">IF(ROWS($1:12)&gt;COUNT(Dong),"",OFFSET(TH!D$1,SMALL(Dong,ROWS($1:12)),))</f>
        <v>CTGS</v>
      </c>
      <c r="C25" s="740">
        <f ca="1">IF(ROWS($1:12)&gt;COUNT(Dong),"",OFFSET(TH!E$1,SMALL(Dong,ROWS($1:12)),))</f>
        <v>42658</v>
      </c>
      <c r="D25" s="741" t="str">
        <f ca="1">IF(ROWS($1:12)&gt;COUNT(Dong),"",OFFSET(TH!F$1,SMALL(Dong,ROWS($1:12)),))</f>
        <v>VAT Tiền thuê xưởng</v>
      </c>
      <c r="E25" s="742" t="str">
        <f ca="1">IF(ROWS($1:12)&gt;COUNT(Dong),"",IF(OFFSET(TH!L$1,SMALL(Dong,ROWS($1:12)),)="331",OFFSET(TH!M$1,SMALL(Dong,ROWS($1:12)),),OFFSET(TH!L$1,SMALL(Dong,ROWS($1:12)),)))</f>
        <v>1331</v>
      </c>
      <c r="F25" s="743">
        <f ca="1">IF(ROWS($1:12)&gt;COUNT(Dong),"",IF(OFFSET(TH!L$1,SMALL(Dong,ROWS($1:12)),)="331",OFFSET(TH!K$1,SMALL(Dong,ROWS($1:12)),),0))</f>
        <v>0</v>
      </c>
      <c r="G25" s="743">
        <f ca="1">IF(ROWS($1:12)&gt;COUNT(Dong),"",IF(OFFSET(TH!M$1,SMALL(Dong,ROWS($1:12)),)="331",OFFSET(TH!K$1,SMALL(Dong,ROWS($1:12)),),0))</f>
        <v>3700000</v>
      </c>
      <c r="H25" s="744">
        <f t="shared" ca="1" si="0"/>
        <v>0</v>
      </c>
      <c r="I25" s="744">
        <f t="shared" ca="1" si="1"/>
        <v>40700000</v>
      </c>
    </row>
    <row r="26" spans="1:9" s="3" customFormat="1" ht="18" customHeight="1">
      <c r="A26" s="740">
        <f ca="1">IF(ROWS($1:13)&gt;COUNT(Dong),"",OFFSET(TH!C$1,SMALL(Dong,ROWS($1:13)),))</f>
        <v>42660</v>
      </c>
      <c r="B26" s="740" t="str">
        <f ca="1">IF(ROWS($1:13)&gt;COUNT(Dong),"",OFFSET(TH!D$1,SMALL(Dong,ROWS($1:13)),))</f>
        <v>GBN</v>
      </c>
      <c r="C26" s="740">
        <f ca="1">IF(ROWS($1:13)&gt;COUNT(Dong),"",OFFSET(TH!E$1,SMALL(Dong,ROWS($1:13)),))</f>
        <v>42660</v>
      </c>
      <c r="D26" s="741" t="str">
        <f ca="1">IF(ROWS($1:13)&gt;COUNT(Dong),"",OFFSET(TH!F$1,SMALL(Dong,ROWS($1:13)),))</f>
        <v>Thanh toán tiền thuê kho</v>
      </c>
      <c r="E26" s="742" t="str">
        <f ca="1">IF(ROWS($1:13)&gt;COUNT(Dong),"",IF(OFFSET(TH!L$1,SMALL(Dong,ROWS($1:13)),)="331",OFFSET(TH!M$1,SMALL(Dong,ROWS($1:13)),),OFFSET(TH!L$1,SMALL(Dong,ROWS($1:13)),)))</f>
        <v>1121</v>
      </c>
      <c r="F26" s="743">
        <f ca="1">IF(ROWS($1:13)&gt;COUNT(Dong),"",IF(OFFSET(TH!L$1,SMALL(Dong,ROWS($1:13)),)="331",OFFSET(TH!K$1,SMALL(Dong,ROWS($1:13)),),0))</f>
        <v>40700000</v>
      </c>
      <c r="G26" s="743">
        <f ca="1">IF(ROWS($1:13)&gt;COUNT(Dong),"",IF(OFFSET(TH!M$1,SMALL(Dong,ROWS($1:13)),)="331",OFFSET(TH!K$1,SMALL(Dong,ROWS($1:13)),),0))</f>
        <v>0</v>
      </c>
      <c r="H26" s="744">
        <f t="shared" ca="1" si="0"/>
        <v>0</v>
      </c>
      <c r="I26" s="744">
        <f t="shared" ca="1" si="1"/>
        <v>0</v>
      </c>
    </row>
    <row r="27" spans="1:9" s="3" customFormat="1" ht="18" customHeight="1">
      <c r="A27" s="740">
        <f ca="1">IF(ROWS($1:14)&gt;COUNT(Dong),"",OFFSET(TH!C$1,SMALL(Dong,ROWS($1:14)),))</f>
        <v>42689</v>
      </c>
      <c r="B27" s="740" t="str">
        <f ca="1">IF(ROWS($1:14)&gt;COUNT(Dong),"",OFFSET(TH!D$1,SMALL(Dong,ROWS($1:14)),))</f>
        <v>CTGS</v>
      </c>
      <c r="C27" s="740">
        <f ca="1">IF(ROWS($1:14)&gt;COUNT(Dong),"",OFFSET(TH!E$1,SMALL(Dong,ROWS($1:14)),))</f>
        <v>42689</v>
      </c>
      <c r="D27" s="741" t="str">
        <f ca="1">IF(ROWS($1:14)&gt;COUNT(Dong),"",OFFSET(TH!F$1,SMALL(Dong,ROWS($1:14)),))</f>
        <v>Tiền thuê xưởng T11/2016</v>
      </c>
      <c r="E27" s="742" t="str">
        <f ca="1">IF(ROWS($1:14)&gt;COUNT(Dong),"",IF(OFFSET(TH!L$1,SMALL(Dong,ROWS($1:14)),)="331",OFFSET(TH!M$1,SMALL(Dong,ROWS($1:14)),),OFFSET(TH!L$1,SMALL(Dong,ROWS($1:14)),)))</f>
        <v>642</v>
      </c>
      <c r="F27" s="743">
        <f ca="1">IF(ROWS($1:14)&gt;COUNT(Dong),"",IF(OFFSET(TH!L$1,SMALL(Dong,ROWS($1:14)),)="331",OFFSET(TH!K$1,SMALL(Dong,ROWS($1:14)),),0))</f>
        <v>0</v>
      </c>
      <c r="G27" s="743">
        <f ca="1">IF(ROWS($1:14)&gt;COUNT(Dong),"",IF(OFFSET(TH!M$1,SMALL(Dong,ROWS($1:14)),)="331",OFFSET(TH!K$1,SMALL(Dong,ROWS($1:14)),),0))</f>
        <v>37000000</v>
      </c>
      <c r="H27" s="744">
        <f t="shared" ca="1" si="0"/>
        <v>0</v>
      </c>
      <c r="I27" s="744">
        <f t="shared" ca="1" si="1"/>
        <v>37000000</v>
      </c>
    </row>
    <row r="28" spans="1:9" s="3" customFormat="1" ht="18" customHeight="1">
      <c r="A28" s="740">
        <f ca="1">IF(ROWS($1:15)&gt;COUNT(Dong),"",OFFSET(TH!C$1,SMALL(Dong,ROWS($1:15)),))</f>
        <v>42689</v>
      </c>
      <c r="B28" s="740" t="str">
        <f ca="1">IF(ROWS($1:15)&gt;COUNT(Dong),"",OFFSET(TH!D$1,SMALL(Dong,ROWS($1:15)),))</f>
        <v>CTGS</v>
      </c>
      <c r="C28" s="740">
        <f ca="1">IF(ROWS($1:15)&gt;COUNT(Dong),"",OFFSET(TH!E$1,SMALL(Dong,ROWS($1:15)),))</f>
        <v>42689</v>
      </c>
      <c r="D28" s="741" t="str">
        <f ca="1">IF(ROWS($1:15)&gt;COUNT(Dong),"",OFFSET(TH!F$1,SMALL(Dong,ROWS($1:15)),))</f>
        <v>VAT Tiền thuê xưởng</v>
      </c>
      <c r="E28" s="742" t="str">
        <f ca="1">IF(ROWS($1:15)&gt;COUNT(Dong),"",IF(OFFSET(TH!L$1,SMALL(Dong,ROWS($1:15)),)="331",OFFSET(TH!M$1,SMALL(Dong,ROWS($1:15)),),OFFSET(TH!L$1,SMALL(Dong,ROWS($1:15)),)))</f>
        <v>1331</v>
      </c>
      <c r="F28" s="743">
        <f ca="1">IF(ROWS($1:15)&gt;COUNT(Dong),"",IF(OFFSET(TH!L$1,SMALL(Dong,ROWS($1:15)),)="331",OFFSET(TH!K$1,SMALL(Dong,ROWS($1:15)),),0))</f>
        <v>0</v>
      </c>
      <c r="G28" s="743">
        <f ca="1">IF(ROWS($1:15)&gt;COUNT(Dong),"",IF(OFFSET(TH!M$1,SMALL(Dong,ROWS($1:15)),)="331",OFFSET(TH!K$1,SMALL(Dong,ROWS($1:15)),),0))</f>
        <v>3700000</v>
      </c>
      <c r="H28" s="744">
        <f t="shared" ca="1" si="0"/>
        <v>0</v>
      </c>
      <c r="I28" s="744">
        <f t="shared" ca="1" si="1"/>
        <v>40700000</v>
      </c>
    </row>
    <row r="29" spans="1:9" s="3" customFormat="1" ht="18" customHeight="1">
      <c r="A29" s="740">
        <f ca="1">IF(ROWS($1:16)&gt;COUNT(Dong),"",OFFSET(TH!C$1,SMALL(Dong,ROWS($1:16)),))</f>
        <v>42692</v>
      </c>
      <c r="B29" s="740" t="str">
        <f ca="1">IF(ROWS($1:16)&gt;COUNT(Dong),"",OFFSET(TH!D$1,SMALL(Dong,ROWS($1:16)),))</f>
        <v>GBN</v>
      </c>
      <c r="C29" s="740">
        <f ca="1">IF(ROWS($1:16)&gt;COUNT(Dong),"",OFFSET(TH!E$1,SMALL(Dong,ROWS($1:16)),))</f>
        <v>42692</v>
      </c>
      <c r="D29" s="741" t="str">
        <f ca="1">IF(ROWS($1:16)&gt;COUNT(Dong),"",OFFSET(TH!F$1,SMALL(Dong,ROWS($1:16)),))</f>
        <v>Thanh toán tiền thuê kho</v>
      </c>
      <c r="E29" s="742" t="str">
        <f ca="1">IF(ROWS($1:16)&gt;COUNT(Dong),"",IF(OFFSET(TH!L$1,SMALL(Dong,ROWS($1:16)),)="331",OFFSET(TH!M$1,SMALL(Dong,ROWS($1:16)),),OFFSET(TH!L$1,SMALL(Dong,ROWS($1:16)),)))</f>
        <v>1121</v>
      </c>
      <c r="F29" s="743">
        <f ca="1">IF(ROWS($1:16)&gt;COUNT(Dong),"",IF(OFFSET(TH!L$1,SMALL(Dong,ROWS($1:16)),)="331",OFFSET(TH!K$1,SMALL(Dong,ROWS($1:16)),),0))</f>
        <v>40700000</v>
      </c>
      <c r="G29" s="743">
        <f ca="1">IF(ROWS($1:16)&gt;COUNT(Dong),"",IF(OFFSET(TH!M$1,SMALL(Dong,ROWS($1:16)),)="331",OFFSET(TH!K$1,SMALL(Dong,ROWS($1:16)),),0))</f>
        <v>0</v>
      </c>
      <c r="H29" s="744">
        <f t="shared" ca="1" si="0"/>
        <v>0</v>
      </c>
      <c r="I29" s="744">
        <f t="shared" ca="1" si="1"/>
        <v>0</v>
      </c>
    </row>
    <row r="30" spans="1:9" s="3" customFormat="1" ht="18" customHeight="1">
      <c r="A30" s="740">
        <f ca="1">IF(ROWS($1:17)&gt;COUNT(Dong),"",OFFSET(TH!C$1,SMALL(Dong,ROWS($1:17)),))</f>
        <v>42709</v>
      </c>
      <c r="B30" s="740" t="str">
        <f ca="1">IF(ROWS($1:17)&gt;COUNT(Dong),"",OFFSET(TH!D$1,SMALL(Dong,ROWS($1:17)),))</f>
        <v>CTGS</v>
      </c>
      <c r="C30" s="740">
        <f ca="1">IF(ROWS($1:17)&gt;COUNT(Dong),"",OFFSET(TH!E$1,SMALL(Dong,ROWS($1:17)),))</f>
        <v>42709</v>
      </c>
      <c r="D30" s="741" t="str">
        <f ca="1">IF(ROWS($1:17)&gt;COUNT(Dong),"",OFFSET(TH!F$1,SMALL(Dong,ROWS($1:17)),))</f>
        <v>Tiền thuê xưởng T12/2016</v>
      </c>
      <c r="E30" s="742" t="str">
        <f ca="1">IF(ROWS($1:17)&gt;COUNT(Dong),"",IF(OFFSET(TH!L$1,SMALL(Dong,ROWS($1:17)),)="331",OFFSET(TH!M$1,SMALL(Dong,ROWS($1:17)),),OFFSET(TH!L$1,SMALL(Dong,ROWS($1:17)),)))</f>
        <v>642</v>
      </c>
      <c r="F30" s="743">
        <f ca="1">IF(ROWS($1:17)&gt;COUNT(Dong),"",IF(OFFSET(TH!L$1,SMALL(Dong,ROWS($1:17)),)="331",OFFSET(TH!K$1,SMALL(Dong,ROWS($1:17)),),0))</f>
        <v>0</v>
      </c>
      <c r="G30" s="743">
        <f ca="1">IF(ROWS($1:17)&gt;COUNT(Dong),"",IF(OFFSET(TH!M$1,SMALL(Dong,ROWS($1:17)),)="331",OFFSET(TH!K$1,SMALL(Dong,ROWS($1:17)),),0))</f>
        <v>37000000</v>
      </c>
      <c r="H30" s="744">
        <f t="shared" ca="1" si="0"/>
        <v>0</v>
      </c>
      <c r="I30" s="744">
        <f t="shared" ca="1" si="1"/>
        <v>37000000</v>
      </c>
    </row>
    <row r="31" spans="1:9" s="3" customFormat="1" ht="18" customHeight="1">
      <c r="A31" s="740">
        <f ca="1">IF(ROWS($1:18)&gt;COUNT(Dong),"",OFFSET(TH!C$1,SMALL(Dong,ROWS($1:18)),))</f>
        <v>42709</v>
      </c>
      <c r="B31" s="740" t="str">
        <f ca="1">IF(ROWS($1:18)&gt;COUNT(Dong),"",OFFSET(TH!D$1,SMALL(Dong,ROWS($1:18)),))</f>
        <v>CTGS</v>
      </c>
      <c r="C31" s="740">
        <f ca="1">IF(ROWS($1:18)&gt;COUNT(Dong),"",OFFSET(TH!E$1,SMALL(Dong,ROWS($1:18)),))</f>
        <v>42709</v>
      </c>
      <c r="D31" s="741" t="str">
        <f ca="1">IF(ROWS($1:18)&gt;COUNT(Dong),"",OFFSET(TH!F$1,SMALL(Dong,ROWS($1:18)),))</f>
        <v>VAT Tiền thuê xưởng</v>
      </c>
      <c r="E31" s="742" t="str">
        <f ca="1">IF(ROWS($1:18)&gt;COUNT(Dong),"",IF(OFFSET(TH!L$1,SMALL(Dong,ROWS($1:18)),)="331",OFFSET(TH!M$1,SMALL(Dong,ROWS($1:18)),),OFFSET(TH!L$1,SMALL(Dong,ROWS($1:18)),)))</f>
        <v>1331</v>
      </c>
      <c r="F31" s="743">
        <f ca="1">IF(ROWS($1:18)&gt;COUNT(Dong),"",IF(OFFSET(TH!L$1,SMALL(Dong,ROWS($1:18)),)="331",OFFSET(TH!K$1,SMALL(Dong,ROWS($1:18)),),0))</f>
        <v>0</v>
      </c>
      <c r="G31" s="743">
        <f ca="1">IF(ROWS($1:18)&gt;COUNT(Dong),"",IF(OFFSET(TH!M$1,SMALL(Dong,ROWS($1:18)),)="331",OFFSET(TH!K$1,SMALL(Dong,ROWS($1:18)),),0))</f>
        <v>3700000</v>
      </c>
      <c r="H31" s="744">
        <f t="shared" ca="1" si="0"/>
        <v>0</v>
      </c>
      <c r="I31" s="744">
        <f t="shared" ca="1" si="1"/>
        <v>40700000</v>
      </c>
    </row>
    <row r="32" spans="1:9" s="3" customFormat="1" ht="18" customHeight="1">
      <c r="A32" s="740">
        <f ca="1">IF(ROWS($1:19)&gt;COUNT(Dong),"",OFFSET(TH!C$1,SMALL(Dong,ROWS($1:19)),))</f>
        <v>42718</v>
      </c>
      <c r="B32" s="740" t="str">
        <f ca="1">IF(ROWS($1:19)&gt;COUNT(Dong),"",OFFSET(TH!D$1,SMALL(Dong,ROWS($1:19)),))</f>
        <v>GBN</v>
      </c>
      <c r="C32" s="740">
        <f ca="1">IF(ROWS($1:19)&gt;COUNT(Dong),"",OFFSET(TH!E$1,SMALL(Dong,ROWS($1:19)),))</f>
        <v>42718</v>
      </c>
      <c r="D32" s="741" t="str">
        <f ca="1">IF(ROWS($1:19)&gt;COUNT(Dong),"",OFFSET(TH!F$1,SMALL(Dong,ROWS($1:19)),))</f>
        <v>Thanh toán tiền thuê kho T12/2016</v>
      </c>
      <c r="E32" s="742" t="str">
        <f ca="1">IF(ROWS($1:19)&gt;COUNT(Dong),"",IF(OFFSET(TH!L$1,SMALL(Dong,ROWS($1:19)),)="331",OFFSET(TH!M$1,SMALL(Dong,ROWS($1:19)),),OFFSET(TH!L$1,SMALL(Dong,ROWS($1:19)),)))</f>
        <v>1121</v>
      </c>
      <c r="F32" s="743">
        <f ca="1">IF(ROWS($1:19)&gt;COUNT(Dong),"",IF(OFFSET(TH!L$1,SMALL(Dong,ROWS($1:19)),)="331",OFFSET(TH!K$1,SMALL(Dong,ROWS($1:19)),),0))</f>
        <v>40700000</v>
      </c>
      <c r="G32" s="743">
        <f ca="1">IF(ROWS($1:19)&gt;COUNT(Dong),"",IF(OFFSET(TH!M$1,SMALL(Dong,ROWS($1:19)),)="331",OFFSET(TH!K$1,SMALL(Dong,ROWS($1:19)),),0))</f>
        <v>0</v>
      </c>
      <c r="H32" s="744">
        <f t="shared" ca="1" si="0"/>
        <v>0</v>
      </c>
      <c r="I32" s="744">
        <f t="shared" ca="1" si="1"/>
        <v>0</v>
      </c>
    </row>
    <row r="33" spans="1:9" s="3" customFormat="1" ht="18" customHeight="1">
      <c r="A33" s="740" t="str">
        <f ca="1">IF(ROWS($1:20)&gt;COUNT(Dong),"",OFFSET(TH!C$1,SMALL(Dong,ROWS($1:20)),))</f>
        <v/>
      </c>
      <c r="B33" s="740" t="str">
        <f ca="1">IF(ROWS($1:20)&gt;COUNT(Dong),"",OFFSET(TH!D$1,SMALL(Dong,ROWS($1:20)),))</f>
        <v/>
      </c>
      <c r="C33" s="740" t="str">
        <f ca="1">IF(ROWS($1:20)&gt;COUNT(Dong),"",OFFSET(TH!E$1,SMALL(Dong,ROWS($1:20)),))</f>
        <v/>
      </c>
      <c r="D33" s="741" t="str">
        <f ca="1">IF(ROWS($1:20)&gt;COUNT(Dong),"",OFFSET(TH!F$1,SMALL(Dong,ROWS($1:20)),))</f>
        <v/>
      </c>
      <c r="E33" s="742" t="str">
        <f ca="1">IF(ROWS($1:20)&gt;COUNT(Dong),"",IF(OFFSET(TH!L$1,SMALL(Dong,ROWS($1:20)),)="331",OFFSET(TH!M$1,SMALL(Dong,ROWS($1:20)),),OFFSET(TH!L$1,SMALL(Dong,ROWS($1:20)),)))</f>
        <v/>
      </c>
      <c r="F33" s="743" t="str">
        <f ca="1">IF(ROWS($1:20)&gt;COUNT(Dong),"",IF(OFFSET(TH!L$1,SMALL(Dong,ROWS($1:20)),)="331",OFFSET(TH!K$1,SMALL(Dong,ROWS($1:20)),),0))</f>
        <v/>
      </c>
      <c r="G33" s="743" t="str">
        <f ca="1">IF(ROWS($1:20)&gt;COUNT(Dong),"",IF(OFFSET(TH!M$1,SMALL(Dong,ROWS($1:20)),)="331",OFFSET(TH!K$1,SMALL(Dong,ROWS($1:20)),),0))</f>
        <v/>
      </c>
      <c r="H33" s="744">
        <f t="shared" ca="1" si="0"/>
        <v>0</v>
      </c>
      <c r="I33" s="744">
        <f t="shared" ca="1" si="1"/>
        <v>0</v>
      </c>
    </row>
    <row r="34" spans="1:9" s="3" customFormat="1" ht="18" customHeight="1">
      <c r="A34" s="740" t="str">
        <f ca="1">IF(ROWS($1:21)&gt;COUNT(Dong),"",OFFSET(TH!C$1,SMALL(Dong,ROWS($1:21)),))</f>
        <v/>
      </c>
      <c r="B34" s="740" t="str">
        <f ca="1">IF(ROWS($1:21)&gt;COUNT(Dong),"",OFFSET(TH!D$1,SMALL(Dong,ROWS($1:21)),))</f>
        <v/>
      </c>
      <c r="C34" s="740" t="str">
        <f ca="1">IF(ROWS($1:21)&gt;COUNT(Dong),"",OFFSET(TH!E$1,SMALL(Dong,ROWS($1:21)),))</f>
        <v/>
      </c>
      <c r="D34" s="741" t="str">
        <f ca="1">IF(ROWS($1:21)&gt;COUNT(Dong),"",OFFSET(TH!F$1,SMALL(Dong,ROWS($1:21)),))</f>
        <v/>
      </c>
      <c r="E34" s="742" t="str">
        <f ca="1">IF(ROWS($1:21)&gt;COUNT(Dong),"",IF(OFFSET(TH!L$1,SMALL(Dong,ROWS($1:21)),)="331",OFFSET(TH!M$1,SMALL(Dong,ROWS($1:21)),),OFFSET(TH!L$1,SMALL(Dong,ROWS($1:21)),)))</f>
        <v/>
      </c>
      <c r="F34" s="743" t="str">
        <f ca="1">IF(ROWS($1:21)&gt;COUNT(Dong),"",IF(OFFSET(TH!L$1,SMALL(Dong,ROWS($1:21)),)="331",OFFSET(TH!K$1,SMALL(Dong,ROWS($1:21)),),0))</f>
        <v/>
      </c>
      <c r="G34" s="743" t="str">
        <f ca="1">IF(ROWS($1:21)&gt;COUNT(Dong),"",IF(OFFSET(TH!M$1,SMALL(Dong,ROWS($1:21)),)="331",OFFSET(TH!K$1,SMALL(Dong,ROWS($1:21)),),0))</f>
        <v/>
      </c>
      <c r="H34" s="744">
        <f t="shared" ca="1" si="0"/>
        <v>0</v>
      </c>
      <c r="I34" s="744">
        <f t="shared" ca="1" si="1"/>
        <v>0</v>
      </c>
    </row>
    <row r="35" spans="1:9" s="3" customFormat="1" ht="18" customHeight="1">
      <c r="A35" s="740" t="str">
        <f ca="1">IF(ROWS($1:22)&gt;COUNT(Dong),"",OFFSET(TH!C$1,SMALL(Dong,ROWS($1:22)),))</f>
        <v/>
      </c>
      <c r="B35" s="740" t="str">
        <f ca="1">IF(ROWS($1:22)&gt;COUNT(Dong),"",OFFSET(TH!D$1,SMALL(Dong,ROWS($1:22)),))</f>
        <v/>
      </c>
      <c r="C35" s="740" t="str">
        <f ca="1">IF(ROWS($1:22)&gt;COUNT(Dong),"",OFFSET(TH!E$1,SMALL(Dong,ROWS($1:22)),))</f>
        <v/>
      </c>
      <c r="D35" s="741" t="str">
        <f ca="1">IF(ROWS($1:22)&gt;COUNT(Dong),"",OFFSET(TH!F$1,SMALL(Dong,ROWS($1:22)),))</f>
        <v/>
      </c>
      <c r="E35" s="742" t="str">
        <f ca="1">IF(ROWS($1:22)&gt;COUNT(Dong),"",IF(OFFSET(TH!L$1,SMALL(Dong,ROWS($1:22)),)="331",OFFSET(TH!M$1,SMALL(Dong,ROWS($1:22)),),OFFSET(TH!L$1,SMALL(Dong,ROWS($1:22)),)))</f>
        <v/>
      </c>
      <c r="F35" s="743" t="str">
        <f ca="1">IF(ROWS($1:22)&gt;COUNT(Dong),"",IF(OFFSET(TH!L$1,SMALL(Dong,ROWS($1:22)),)="331",OFFSET(TH!K$1,SMALL(Dong,ROWS($1:22)),),0))</f>
        <v/>
      </c>
      <c r="G35" s="743" t="str">
        <f ca="1">IF(ROWS($1:22)&gt;COUNT(Dong),"",IF(OFFSET(TH!M$1,SMALL(Dong,ROWS($1:22)),)="331",OFFSET(TH!K$1,SMALL(Dong,ROWS($1:22)),),0))</f>
        <v/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 t="str">
        <f ca="1">IF(ROWS($1:23)&gt;COUNT(Dong),"",OFFSET(TH!C$1,SMALL(Dong,ROWS($1:23)),))</f>
        <v/>
      </c>
      <c r="B36" s="740" t="str">
        <f ca="1">IF(ROWS($1:23)&gt;COUNT(Dong),"",OFFSET(TH!D$1,SMALL(Dong,ROWS($1:23)),))</f>
        <v/>
      </c>
      <c r="C36" s="740" t="str">
        <f ca="1">IF(ROWS($1:23)&gt;COUNT(Dong),"",OFFSET(TH!E$1,SMALL(Dong,ROWS($1:23)),))</f>
        <v/>
      </c>
      <c r="D36" s="741" t="str">
        <f ca="1">IF(ROWS($1:23)&gt;COUNT(Dong),"",OFFSET(TH!F$1,SMALL(Dong,ROWS($1:23)),))</f>
        <v/>
      </c>
      <c r="E36" s="742" t="str">
        <f ca="1">IF(ROWS($1:23)&gt;COUNT(Dong),"",IF(OFFSET(TH!L$1,SMALL(Dong,ROWS($1:23)),)="331",OFFSET(TH!M$1,SMALL(Dong,ROWS($1:23)),),OFFSET(TH!L$1,SMALL(Dong,ROWS($1:23)),)))</f>
        <v/>
      </c>
      <c r="F36" s="743" t="str">
        <f ca="1">IF(ROWS($1:23)&gt;COUNT(Dong),"",IF(OFFSET(TH!L$1,SMALL(Dong,ROWS($1:23)),)="331",OFFSET(TH!K$1,SMALL(Dong,ROWS($1:23)),),0))</f>
        <v/>
      </c>
      <c r="G36" s="743" t="str">
        <f ca="1">IF(ROWS($1:23)&gt;COUNT(Dong),"",IF(OFFSET(TH!M$1,SMALL(Dong,ROWS($1:23)),)="331",OFFSET(TH!K$1,SMALL(Dong,ROWS($1:23)),),0))</f>
        <v/>
      </c>
      <c r="H36" s="744">
        <f t="shared" ca="1" si="0"/>
        <v>0</v>
      </c>
      <c r="I36" s="744">
        <f t="shared" ca="1" si="1"/>
        <v>0</v>
      </c>
    </row>
    <row r="37" spans="1:9" s="3" customFormat="1" ht="18" customHeight="1">
      <c r="A37" s="740" t="str">
        <f ca="1">IF(ROWS($1:24)&gt;COUNT(Dong),"",OFFSET(TH!C$1,SMALL(Dong,ROWS($1:24)),))</f>
        <v/>
      </c>
      <c r="B37" s="740" t="str">
        <f ca="1">IF(ROWS($1:24)&gt;COUNT(Dong),"",OFFSET(TH!D$1,SMALL(Dong,ROWS($1:24)),))</f>
        <v/>
      </c>
      <c r="C37" s="740" t="str">
        <f ca="1">IF(ROWS($1:24)&gt;COUNT(Dong),"",OFFSET(TH!E$1,SMALL(Dong,ROWS($1:24)),))</f>
        <v/>
      </c>
      <c r="D37" s="741" t="str">
        <f ca="1">IF(ROWS($1:24)&gt;COUNT(Dong),"",OFFSET(TH!F$1,SMALL(Dong,ROWS($1:24)),))</f>
        <v/>
      </c>
      <c r="E37" s="742" t="str">
        <f ca="1">IF(ROWS($1:24)&gt;COUNT(Dong),"",IF(OFFSET(TH!L$1,SMALL(Dong,ROWS($1:24)),)="331",OFFSET(TH!M$1,SMALL(Dong,ROWS($1:24)),),OFFSET(TH!L$1,SMALL(Dong,ROWS($1:24)),)))</f>
        <v/>
      </c>
      <c r="F37" s="743" t="str">
        <f ca="1">IF(ROWS($1:24)&gt;COUNT(Dong),"",IF(OFFSET(TH!L$1,SMALL(Dong,ROWS($1:24)),)="331",OFFSET(TH!K$1,SMALL(Dong,ROWS($1:24)),),0))</f>
        <v/>
      </c>
      <c r="G37" s="743" t="str">
        <f ca="1">IF(ROWS($1:24)&gt;COUNT(Dong),"",IF(OFFSET(TH!M$1,SMALL(Dong,ROWS($1:24)),)="331",OFFSET(TH!K$1,SMALL(Dong,ROWS($1:24)),),0))</f>
        <v/>
      </c>
      <c r="H37" s="744">
        <f t="shared" ca="1" si="0"/>
        <v>0</v>
      </c>
      <c r="I37" s="744">
        <f t="shared" ca="1" si="1"/>
        <v>0</v>
      </c>
    </row>
    <row r="38" spans="1:9" s="3" customFormat="1" ht="18" customHeight="1">
      <c r="A38" s="740" t="str">
        <f ca="1">IF(ROWS($1:25)&gt;COUNT(Dong),"",OFFSET(TH!C$1,SMALL(Dong,ROWS($1:25)),))</f>
        <v/>
      </c>
      <c r="B38" s="740" t="str">
        <f ca="1">IF(ROWS($1:25)&gt;COUNT(Dong),"",OFFSET(TH!D$1,SMALL(Dong,ROWS($1:25)),))</f>
        <v/>
      </c>
      <c r="C38" s="740" t="str">
        <f ca="1">IF(ROWS($1:25)&gt;COUNT(Dong),"",OFFSET(TH!E$1,SMALL(Dong,ROWS($1:25)),))</f>
        <v/>
      </c>
      <c r="D38" s="741" t="str">
        <f ca="1">IF(ROWS($1:25)&gt;COUNT(Dong),"",OFFSET(TH!F$1,SMALL(Dong,ROWS($1:25)),))</f>
        <v/>
      </c>
      <c r="E38" s="742" t="str">
        <f ca="1">IF(ROWS($1:25)&gt;COUNT(Dong),"",IF(OFFSET(TH!L$1,SMALL(Dong,ROWS($1:25)),)="331",OFFSET(TH!M$1,SMALL(Dong,ROWS($1:25)),),OFFSET(TH!L$1,SMALL(Dong,ROWS($1:25)),)))</f>
        <v/>
      </c>
      <c r="F38" s="743" t="str">
        <f ca="1">IF(ROWS($1:25)&gt;COUNT(Dong),"",IF(OFFSET(TH!L$1,SMALL(Dong,ROWS($1:25)),)="331",OFFSET(TH!K$1,SMALL(Dong,ROWS($1:25)),),0))</f>
        <v/>
      </c>
      <c r="G38" s="743" t="str">
        <f ca="1">IF(ROWS($1:25)&gt;COUNT(Dong),"",IF(OFFSET(TH!M$1,SMALL(Dong,ROWS($1:25)),)="331",OFFSET(TH!K$1,SMALL(Dong,ROWS($1:25)),),0))</f>
        <v/>
      </c>
      <c r="H38" s="744">
        <f t="shared" ca="1" si="0"/>
        <v>0</v>
      </c>
      <c r="I38" s="744">
        <f t="shared" ca="1" si="1"/>
        <v>0</v>
      </c>
    </row>
    <row r="39" spans="1:9" s="3" customFormat="1" ht="18" customHeight="1">
      <c r="A39" s="740" t="str">
        <f ca="1">IF(ROWS($1:26)&gt;COUNT(Dong),"",OFFSET(TH!C$1,SMALL(Dong,ROWS($1:26)),))</f>
        <v/>
      </c>
      <c r="B39" s="740" t="str">
        <f ca="1">IF(ROWS($1:26)&gt;COUNT(Dong),"",OFFSET(TH!D$1,SMALL(Dong,ROWS($1:26)),))</f>
        <v/>
      </c>
      <c r="C39" s="740" t="str">
        <f ca="1">IF(ROWS($1:26)&gt;COUNT(Dong),"",OFFSET(TH!E$1,SMALL(Dong,ROWS($1:26)),))</f>
        <v/>
      </c>
      <c r="D39" s="741" t="str">
        <f ca="1">IF(ROWS($1:26)&gt;COUNT(Dong),"",OFFSET(TH!F$1,SMALL(Dong,ROWS($1:26)),))</f>
        <v/>
      </c>
      <c r="E39" s="742" t="str">
        <f ca="1">IF(ROWS($1:26)&gt;COUNT(Dong),"",IF(OFFSET(TH!L$1,SMALL(Dong,ROWS($1:26)),)="331",OFFSET(TH!M$1,SMALL(Dong,ROWS($1:26)),),OFFSET(TH!L$1,SMALL(Dong,ROWS($1:26)),)))</f>
        <v/>
      </c>
      <c r="F39" s="743" t="str">
        <f ca="1">IF(ROWS($1:26)&gt;COUNT(Dong),"",IF(OFFSET(TH!L$1,SMALL(Dong,ROWS($1:26)),)="331",OFFSET(TH!K$1,SMALL(Dong,ROWS($1:26)),),0))</f>
        <v/>
      </c>
      <c r="G39" s="743" t="str">
        <f ca="1">IF(ROWS($1:26)&gt;COUNT(Dong),"",IF(OFFSET(TH!M$1,SMALL(Dong,ROWS($1:26)),)="331",OFFSET(TH!K$1,SMALL(Dong,ROWS($1:26)),),0))</f>
        <v/>
      </c>
      <c r="H39" s="744">
        <f t="shared" ca="1" si="0"/>
        <v>0</v>
      </c>
      <c r="I39" s="744">
        <f t="shared" ca="1" si="1"/>
        <v>0</v>
      </c>
    </row>
    <row r="40" spans="1:9" s="3" customFormat="1" ht="18" customHeight="1">
      <c r="A40" s="740" t="str">
        <f ca="1">IF(ROWS($1:27)&gt;COUNT(Dong),"",OFFSET(TH!C$1,SMALL(Dong,ROWS($1:27)),))</f>
        <v/>
      </c>
      <c r="B40" s="740" t="str">
        <f ca="1">IF(ROWS($1:27)&gt;COUNT(Dong),"",OFFSET(TH!D$1,SMALL(Dong,ROWS($1:27)),))</f>
        <v/>
      </c>
      <c r="C40" s="740" t="str">
        <f ca="1">IF(ROWS($1:27)&gt;COUNT(Dong),"",OFFSET(TH!E$1,SMALL(Dong,ROWS($1:27)),))</f>
        <v/>
      </c>
      <c r="D40" s="741" t="str">
        <f ca="1">IF(ROWS($1:27)&gt;COUNT(Dong),"",OFFSET(TH!F$1,SMALL(Dong,ROWS($1:27)),))</f>
        <v/>
      </c>
      <c r="E40" s="742" t="str">
        <f ca="1">IF(ROWS($1:27)&gt;COUNT(Dong),"",IF(OFFSET(TH!L$1,SMALL(Dong,ROWS($1:27)),)="331",OFFSET(TH!M$1,SMALL(Dong,ROWS($1:27)),),OFFSET(TH!L$1,SMALL(Dong,ROWS($1:27)),)))</f>
        <v/>
      </c>
      <c r="F40" s="743" t="str">
        <f ca="1">IF(ROWS($1:27)&gt;COUNT(Dong),"",IF(OFFSET(TH!L$1,SMALL(Dong,ROWS($1:27)),)="331",OFFSET(TH!K$1,SMALL(Dong,ROWS($1:27)),),0))</f>
        <v/>
      </c>
      <c r="G40" s="743" t="str">
        <f ca="1">IF(ROWS($1:27)&gt;COUNT(Dong),"",IF(OFFSET(TH!M$1,SMALL(Dong,ROWS($1:27)),)="331",OFFSET(TH!K$1,SMALL(Dong,ROWS($1:27)),),0))</f>
        <v/>
      </c>
      <c r="H40" s="744">
        <f t="shared" ca="1" si="0"/>
        <v>0</v>
      </c>
      <c r="I40" s="744">
        <f t="shared" ca="1" si="1"/>
        <v>0</v>
      </c>
    </row>
    <row r="41" spans="1:9" s="3" customFormat="1" ht="18" customHeight="1">
      <c r="A41" s="740" t="str">
        <f ca="1">IF(ROWS($1:28)&gt;COUNT(Dong),"",OFFSET(TH!C$1,SMALL(Dong,ROWS($1:28)),))</f>
        <v/>
      </c>
      <c r="B41" s="740" t="str">
        <f ca="1">IF(ROWS($1:28)&gt;COUNT(Dong),"",OFFSET(TH!D$1,SMALL(Dong,ROWS($1:28)),))</f>
        <v/>
      </c>
      <c r="C41" s="740" t="str">
        <f ca="1">IF(ROWS($1:28)&gt;COUNT(Dong),"",OFFSET(TH!E$1,SMALL(Dong,ROWS($1:28)),))</f>
        <v/>
      </c>
      <c r="D41" s="741" t="str">
        <f ca="1">IF(ROWS($1:28)&gt;COUNT(Dong),"",OFFSET(TH!F$1,SMALL(Dong,ROWS($1:28)),))</f>
        <v/>
      </c>
      <c r="E41" s="742" t="str">
        <f ca="1">IF(ROWS($1:28)&gt;COUNT(Dong),"",IF(OFFSET(TH!L$1,SMALL(Dong,ROWS($1:28)),)="331",OFFSET(TH!M$1,SMALL(Dong,ROWS($1:28)),),OFFSET(TH!L$1,SMALL(Dong,ROWS($1:28)),)))</f>
        <v/>
      </c>
      <c r="F41" s="743" t="str">
        <f ca="1">IF(ROWS($1:28)&gt;COUNT(Dong),"",IF(OFFSET(TH!L$1,SMALL(Dong,ROWS($1:28)),)="331",OFFSET(TH!K$1,SMALL(Dong,ROWS($1:28)),),0))</f>
        <v/>
      </c>
      <c r="G41" s="743" t="str">
        <f ca="1">IF(ROWS($1:28)&gt;COUNT(Dong),"",IF(OFFSET(TH!M$1,SMALL(Dong,ROWS($1:28)),)="331",OFFSET(TH!K$1,SMALL(Dong,ROWS($1:28)),),0))</f>
        <v/>
      </c>
      <c r="H41" s="744">
        <f t="shared" ca="1" si="0"/>
        <v>0</v>
      </c>
      <c r="I41" s="744">
        <f t="shared" ca="1" si="1"/>
        <v>0</v>
      </c>
    </row>
    <row r="42" spans="1:9" s="3" customFormat="1" ht="18" customHeight="1">
      <c r="A42" s="740" t="str">
        <f ca="1">IF(ROWS($1:29)&gt;COUNT(Dong),"",OFFSET(TH!C$1,SMALL(Dong,ROWS($1:29)),))</f>
        <v/>
      </c>
      <c r="B42" s="740" t="str">
        <f ca="1">IF(ROWS($1:29)&gt;COUNT(Dong),"",OFFSET(TH!D$1,SMALL(Dong,ROWS($1:29)),))</f>
        <v/>
      </c>
      <c r="C42" s="740" t="str">
        <f ca="1">IF(ROWS($1:29)&gt;COUNT(Dong),"",OFFSET(TH!E$1,SMALL(Dong,ROWS($1:29)),))</f>
        <v/>
      </c>
      <c r="D42" s="741" t="str">
        <f ca="1">IF(ROWS($1:29)&gt;COUNT(Dong),"",OFFSET(TH!F$1,SMALL(Dong,ROWS($1:29)),))</f>
        <v/>
      </c>
      <c r="E42" s="742" t="str">
        <f ca="1">IF(ROWS($1:29)&gt;COUNT(Dong),"",IF(OFFSET(TH!L$1,SMALL(Dong,ROWS($1:29)),)="331",OFFSET(TH!M$1,SMALL(Dong,ROWS($1:29)),),OFFSET(TH!L$1,SMALL(Dong,ROWS($1:29)),)))</f>
        <v/>
      </c>
      <c r="F42" s="743" t="str">
        <f ca="1">IF(ROWS($1:29)&gt;COUNT(Dong),"",IF(OFFSET(TH!L$1,SMALL(Dong,ROWS($1:29)),)="331",OFFSET(TH!K$1,SMALL(Dong,ROWS($1:29)),),0))</f>
        <v/>
      </c>
      <c r="G42" s="743" t="str">
        <f ca="1">IF(ROWS($1:29)&gt;COUNT(Dong),"",IF(OFFSET(TH!M$1,SMALL(Dong,ROWS($1:29)),)="331",OFFSET(TH!K$1,SMALL(Dong,ROWS($1:29)),),0))</f>
        <v/>
      </c>
      <c r="H42" s="744">
        <f t="shared" ca="1" si="0"/>
        <v>0</v>
      </c>
      <c r="I42" s="744">
        <f t="shared" ca="1" si="1"/>
        <v>0</v>
      </c>
    </row>
    <row r="43" spans="1:9" s="3" customFormat="1" ht="18" customHeight="1">
      <c r="A43" s="740" t="str">
        <f ca="1">IF(ROWS($1:30)&gt;COUNT(Dong),"",OFFSET(TH!C$1,SMALL(Dong,ROWS($1:30)),))</f>
        <v/>
      </c>
      <c r="B43" s="740" t="str">
        <f ca="1">IF(ROWS($1:30)&gt;COUNT(Dong),"",OFFSET(TH!D$1,SMALL(Dong,ROWS($1:30)),))</f>
        <v/>
      </c>
      <c r="C43" s="740" t="str">
        <f ca="1">IF(ROWS($1:30)&gt;COUNT(Dong),"",OFFSET(TH!E$1,SMALL(Dong,ROWS($1:30)),))</f>
        <v/>
      </c>
      <c r="D43" s="741" t="str">
        <f ca="1">IF(ROWS($1:30)&gt;COUNT(Dong),"",OFFSET(TH!F$1,SMALL(Dong,ROWS($1:30)),))</f>
        <v/>
      </c>
      <c r="E43" s="742" t="str">
        <f ca="1">IF(ROWS($1:30)&gt;COUNT(Dong),"",IF(OFFSET(TH!L$1,SMALL(Dong,ROWS($1:30)),)="331",OFFSET(TH!M$1,SMALL(Dong,ROWS($1:30)),),OFFSET(TH!L$1,SMALL(Dong,ROWS($1:30)),)))</f>
        <v/>
      </c>
      <c r="F43" s="743" t="str">
        <f ca="1">IF(ROWS($1:30)&gt;COUNT(Dong),"",IF(OFFSET(TH!L$1,SMALL(Dong,ROWS($1:30)),)="331",OFFSET(TH!K$1,SMALL(Dong,ROWS($1:30)),),0))</f>
        <v/>
      </c>
      <c r="G43" s="743" t="str">
        <f ca="1">IF(ROWS($1:30)&gt;COUNT(Dong),"",IF(OFFSET(TH!M$1,SMALL(Dong,ROWS($1:30)),)="331",OFFSET(TH!K$1,SMALL(Dong,ROWS($1:30)),),0))</f>
        <v/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 t="str">
        <f ca="1">IF(ROWS($1:31)&gt;COUNT(Dong),"",OFFSET(TH!C$1,SMALL(Dong,ROWS($1:31)),))</f>
        <v/>
      </c>
      <c r="B44" s="740" t="str">
        <f ca="1">IF(ROWS($1:31)&gt;COUNT(Dong),"",OFFSET(TH!D$1,SMALL(Dong,ROWS($1:31)),))</f>
        <v/>
      </c>
      <c r="C44" s="740" t="str">
        <f ca="1">IF(ROWS($1:31)&gt;COUNT(Dong),"",OFFSET(TH!E$1,SMALL(Dong,ROWS($1:31)),))</f>
        <v/>
      </c>
      <c r="D44" s="741" t="str">
        <f ca="1">IF(ROWS($1:31)&gt;COUNT(Dong),"",OFFSET(TH!F$1,SMALL(Dong,ROWS($1:31)),))</f>
        <v/>
      </c>
      <c r="E44" s="742" t="str">
        <f ca="1">IF(ROWS($1:31)&gt;COUNT(Dong),"",IF(OFFSET(TH!L$1,SMALL(Dong,ROWS($1:31)),)="331",OFFSET(TH!M$1,SMALL(Dong,ROWS($1:31)),),OFFSET(TH!L$1,SMALL(Dong,ROWS($1:31)),)))</f>
        <v/>
      </c>
      <c r="F44" s="743" t="str">
        <f ca="1">IF(ROWS($1:31)&gt;COUNT(Dong),"",IF(OFFSET(TH!L$1,SMALL(Dong,ROWS($1:31)),)="331",OFFSET(TH!K$1,SMALL(Dong,ROWS($1:31)),),0))</f>
        <v/>
      </c>
      <c r="G44" s="743" t="str">
        <f ca="1">IF(ROWS($1:31)&gt;COUNT(Dong),"",IF(OFFSET(TH!M$1,SMALL(Dong,ROWS($1:31)),)="331",OFFSET(TH!K$1,SMALL(Dong,ROWS($1:31)),),0))</f>
        <v/>
      </c>
      <c r="H44" s="744">
        <f t="shared" ca="1" si="0"/>
        <v>0</v>
      </c>
      <c r="I44" s="744">
        <f t="shared" ca="1" si="1"/>
        <v>0</v>
      </c>
    </row>
    <row r="45" spans="1:9" s="3" customFormat="1" ht="18" customHeight="1">
      <c r="A45" s="740" t="str">
        <f ca="1">IF(ROWS($1:32)&gt;COUNT(Dong),"",OFFSET(TH!C$1,SMALL(Dong,ROWS($1:32)),))</f>
        <v/>
      </c>
      <c r="B45" s="740" t="str">
        <f ca="1">IF(ROWS($1:32)&gt;COUNT(Dong),"",OFFSET(TH!D$1,SMALL(Dong,ROWS($1:32)),))</f>
        <v/>
      </c>
      <c r="C45" s="740" t="str">
        <f ca="1">IF(ROWS($1:32)&gt;COUNT(Dong),"",OFFSET(TH!E$1,SMALL(Dong,ROWS($1:32)),))</f>
        <v/>
      </c>
      <c r="D45" s="741" t="str">
        <f ca="1">IF(ROWS($1:32)&gt;COUNT(Dong),"",OFFSET(TH!F$1,SMALL(Dong,ROWS($1:32)),))</f>
        <v/>
      </c>
      <c r="E45" s="742" t="str">
        <f ca="1">IF(ROWS($1:32)&gt;COUNT(Dong),"",IF(OFFSET(TH!L$1,SMALL(Dong,ROWS($1:32)),)="331",OFFSET(TH!M$1,SMALL(Dong,ROWS($1:32)),),OFFSET(TH!L$1,SMALL(Dong,ROWS($1:32)),)))</f>
        <v/>
      </c>
      <c r="F45" s="743" t="str">
        <f ca="1">IF(ROWS($1:32)&gt;COUNT(Dong),"",IF(OFFSET(TH!L$1,SMALL(Dong,ROWS($1:32)),)="331",OFFSET(TH!K$1,SMALL(Dong,ROWS($1:32)),),0))</f>
        <v/>
      </c>
      <c r="G45" s="743" t="str">
        <f ca="1">IF(ROWS($1:32)&gt;COUNT(Dong),"",IF(OFFSET(TH!M$1,SMALL(Dong,ROWS($1:32)),)="331",OFFSET(TH!K$1,SMALL(Dong,ROWS($1:32)),),0))</f>
        <v/>
      </c>
      <c r="H45" s="744">
        <f t="shared" ca="1" si="0"/>
        <v>0</v>
      </c>
      <c r="I45" s="744">
        <f t="shared" ca="1" si="1"/>
        <v>0</v>
      </c>
    </row>
    <row r="46" spans="1:9" s="3" customFormat="1" ht="18" customHeight="1">
      <c r="A46" s="740" t="str">
        <f ca="1">IF(ROWS($1:33)&gt;COUNT(Dong),"",OFFSET(TH!C$1,SMALL(Dong,ROWS($1:33)),))</f>
        <v/>
      </c>
      <c r="B46" s="740" t="str">
        <f ca="1">IF(ROWS($1:33)&gt;COUNT(Dong),"",OFFSET(TH!D$1,SMALL(Dong,ROWS($1:33)),))</f>
        <v/>
      </c>
      <c r="C46" s="740" t="str">
        <f ca="1">IF(ROWS($1:33)&gt;COUNT(Dong),"",OFFSET(TH!E$1,SMALL(Dong,ROWS($1:33)),))</f>
        <v/>
      </c>
      <c r="D46" s="741" t="str">
        <f ca="1">IF(ROWS($1:33)&gt;COUNT(Dong),"",OFFSET(TH!F$1,SMALL(Dong,ROWS($1:33)),))</f>
        <v/>
      </c>
      <c r="E46" s="742" t="str">
        <f ca="1">IF(ROWS($1:33)&gt;COUNT(Dong),"",IF(OFFSET(TH!L$1,SMALL(Dong,ROWS($1:33)),)="331",OFFSET(TH!M$1,SMALL(Dong,ROWS($1:33)),),OFFSET(TH!L$1,SMALL(Dong,ROWS($1:33)),)))</f>
        <v/>
      </c>
      <c r="F46" s="743" t="str">
        <f ca="1">IF(ROWS($1:33)&gt;COUNT(Dong),"",IF(OFFSET(TH!L$1,SMALL(Dong,ROWS($1:33)),)="331",OFFSET(TH!K$1,SMALL(Dong,ROWS($1:33)),),0))</f>
        <v/>
      </c>
      <c r="G46" s="743" t="str">
        <f ca="1">IF(ROWS($1:33)&gt;COUNT(Dong),"",IF(OFFSET(TH!M$1,SMALL(Dong,ROWS($1:33)),)="331",OFFSET(TH!K$1,SMALL(Dong,ROWS($1:33)),),0))</f>
        <v/>
      </c>
      <c r="H46" s="744">
        <f t="shared" ca="1" si="0"/>
        <v>0</v>
      </c>
      <c r="I46" s="744">
        <f t="shared" ca="1" si="1"/>
        <v>0</v>
      </c>
    </row>
    <row r="47" spans="1:9" s="3" customFormat="1" ht="18" customHeight="1">
      <c r="A47" s="740" t="str">
        <f ca="1">IF(ROWS($1:34)&gt;COUNT(Dong),"",OFFSET(TH!C$1,SMALL(Dong,ROWS($1:34)),))</f>
        <v/>
      </c>
      <c r="B47" s="740" t="str">
        <f ca="1">IF(ROWS($1:34)&gt;COUNT(Dong),"",OFFSET(TH!D$1,SMALL(Dong,ROWS($1:34)),))</f>
        <v/>
      </c>
      <c r="C47" s="740" t="str">
        <f ca="1">IF(ROWS($1:34)&gt;COUNT(Dong),"",OFFSET(TH!E$1,SMALL(Dong,ROWS($1:34)),))</f>
        <v/>
      </c>
      <c r="D47" s="741" t="str">
        <f ca="1">IF(ROWS($1:34)&gt;COUNT(Dong),"",OFFSET(TH!F$1,SMALL(Dong,ROWS($1:34)),))</f>
        <v/>
      </c>
      <c r="E47" s="742" t="str">
        <f ca="1">IF(ROWS($1:34)&gt;COUNT(Dong),"",IF(OFFSET(TH!L$1,SMALL(Dong,ROWS($1:34)),)="331",OFFSET(TH!M$1,SMALL(Dong,ROWS($1:34)),),OFFSET(TH!L$1,SMALL(Dong,ROWS($1:34)),)))</f>
        <v/>
      </c>
      <c r="F47" s="743" t="str">
        <f ca="1">IF(ROWS($1:34)&gt;COUNT(Dong),"",IF(OFFSET(TH!L$1,SMALL(Dong,ROWS($1:34)),)="331",OFFSET(TH!K$1,SMALL(Dong,ROWS($1:34)),),0))</f>
        <v/>
      </c>
      <c r="G47" s="743" t="str">
        <f ca="1">IF(ROWS($1:34)&gt;COUNT(Dong),"",IF(OFFSET(TH!M$1,SMALL(Dong,ROWS($1:34)),)="331",OFFSET(TH!K$1,SMALL(Dong,ROWS($1:34)),),0))</f>
        <v/>
      </c>
      <c r="H47" s="744">
        <f t="shared" ca="1" si="0"/>
        <v>0</v>
      </c>
      <c r="I47" s="744">
        <f t="shared" ca="1" si="1"/>
        <v>0</v>
      </c>
    </row>
    <row r="48" spans="1:9" s="3" customFormat="1" ht="18" customHeight="1">
      <c r="A48" s="740" t="str">
        <f ca="1">IF(ROWS($1:35)&gt;COUNT(Dong),"",OFFSET(TH!C$1,SMALL(Dong,ROWS($1:35)),))</f>
        <v/>
      </c>
      <c r="B48" s="740" t="str">
        <f ca="1">IF(ROWS($1:35)&gt;COUNT(Dong),"",OFFSET(TH!D$1,SMALL(Dong,ROWS($1:35)),))</f>
        <v/>
      </c>
      <c r="C48" s="740" t="str">
        <f ca="1">IF(ROWS($1:35)&gt;COUNT(Dong),"",OFFSET(TH!E$1,SMALL(Dong,ROWS($1:35)),))</f>
        <v/>
      </c>
      <c r="D48" s="741" t="str">
        <f ca="1">IF(ROWS($1:35)&gt;COUNT(Dong),"",OFFSET(TH!F$1,SMALL(Dong,ROWS($1:35)),))</f>
        <v/>
      </c>
      <c r="E48" s="742" t="str">
        <f ca="1">IF(ROWS($1:35)&gt;COUNT(Dong),"",IF(OFFSET(TH!L$1,SMALL(Dong,ROWS($1:35)),)="331",OFFSET(TH!M$1,SMALL(Dong,ROWS($1:35)),),OFFSET(TH!L$1,SMALL(Dong,ROWS($1:35)),)))</f>
        <v/>
      </c>
      <c r="F48" s="743" t="str">
        <f ca="1">IF(ROWS($1:35)&gt;COUNT(Dong),"",IF(OFFSET(TH!L$1,SMALL(Dong,ROWS($1:35)),)="331",OFFSET(TH!K$1,SMALL(Dong,ROWS($1:35)),),0))</f>
        <v/>
      </c>
      <c r="G48" s="743" t="str">
        <f ca="1">IF(ROWS($1:35)&gt;COUNT(Dong),"",IF(OFFSET(TH!M$1,SMALL(Dong,ROWS($1:35)),)="331",OFFSET(TH!K$1,SMALL(Dong,ROWS($1:35)),),0))</f>
        <v/>
      </c>
      <c r="H48" s="744">
        <f t="shared" ca="1" si="0"/>
        <v>0</v>
      </c>
      <c r="I48" s="744">
        <f t="shared" ca="1" si="1"/>
        <v>0</v>
      </c>
    </row>
    <row r="49" spans="1:10" s="3" customFormat="1" ht="18" customHeight="1">
      <c r="A49" s="740" t="str">
        <f ca="1">IF(ROWS($1:36)&gt;COUNT(Dong),"",OFFSET(TH!C$1,SMALL(Dong,ROWS($1:36)),))</f>
        <v/>
      </c>
      <c r="B49" s="740" t="str">
        <f ca="1">IF(ROWS($1:36)&gt;COUNT(Dong),"",OFFSET(TH!D$1,SMALL(Dong,ROWS($1:36)),))</f>
        <v/>
      </c>
      <c r="C49" s="740" t="str">
        <f ca="1">IF(ROWS($1:36)&gt;COUNT(Dong),"",OFFSET(TH!E$1,SMALL(Dong,ROWS($1:36)),))</f>
        <v/>
      </c>
      <c r="D49" s="741" t="str">
        <f ca="1">IF(ROWS($1:36)&gt;COUNT(Dong),"",OFFSET(TH!F$1,SMALL(Dong,ROWS($1:36)),))</f>
        <v/>
      </c>
      <c r="E49" s="742" t="str">
        <f ca="1">IF(ROWS($1:36)&gt;COUNT(Dong),"",IF(OFFSET(TH!L$1,SMALL(Dong,ROWS($1:36)),)="331",OFFSET(TH!M$1,SMALL(Dong,ROWS($1:36)),),OFFSET(TH!L$1,SMALL(Dong,ROWS($1:36)),)))</f>
        <v/>
      </c>
      <c r="F49" s="743" t="str">
        <f ca="1">IF(ROWS($1:36)&gt;COUNT(Dong),"",IF(OFFSET(TH!L$1,SMALL(Dong,ROWS($1:36)),)="331",OFFSET(TH!K$1,SMALL(Dong,ROWS($1:36)),),0))</f>
        <v/>
      </c>
      <c r="G49" s="743" t="str">
        <f ca="1">IF(ROWS($1:36)&gt;COUNT(Dong),"",IF(OFFSET(TH!M$1,SMALL(Dong,ROWS($1:36)),)="331",OFFSET(TH!K$1,SMALL(Dong,ROWS($1:36)),),0))</f>
        <v/>
      </c>
      <c r="H49" s="744">
        <f t="shared" ca="1" si="0"/>
        <v>0</v>
      </c>
      <c r="I49" s="744">
        <f t="shared" ca="1" si="1"/>
        <v>0</v>
      </c>
    </row>
    <row r="50" spans="1:10" s="3" customFormat="1" ht="18" customHeight="1">
      <c r="A50" s="740"/>
      <c r="B50" s="740"/>
      <c r="C50" s="740"/>
      <c r="D50" s="741"/>
      <c r="E50" s="742"/>
      <c r="F50" s="743"/>
      <c r="G50" s="743"/>
      <c r="H50" s="744"/>
      <c r="I50" s="744"/>
    </row>
    <row r="51" spans="1:10" s="3" customFormat="1" ht="18" customHeight="1">
      <c r="A51" s="739"/>
      <c r="B51" s="657"/>
      <c r="C51" s="745"/>
      <c r="D51" s="738" t="s">
        <v>32</v>
      </c>
      <c r="E51" s="657" t="s">
        <v>19</v>
      </c>
      <c r="F51" s="746">
        <f ca="1">SUM(F14:F50)</f>
        <v>244200000</v>
      </c>
      <c r="G51" s="746">
        <f ca="1">SUM(G14:G50)</f>
        <v>244200000</v>
      </c>
      <c r="H51" s="746" t="s">
        <v>19</v>
      </c>
      <c r="I51" s="746" t="s">
        <v>19</v>
      </c>
    </row>
    <row r="52" spans="1:10" s="3" customFormat="1" ht="18" customHeight="1">
      <c r="A52" s="739"/>
      <c r="B52" s="657"/>
      <c r="C52" s="657"/>
      <c r="D52" s="738" t="s">
        <v>10</v>
      </c>
      <c r="E52" s="657" t="s">
        <v>19</v>
      </c>
      <c r="F52" s="746" t="s">
        <v>19</v>
      </c>
      <c r="G52" s="746" t="s">
        <v>19</v>
      </c>
      <c r="H52" s="746">
        <f ca="1">MAX(H13+F51-G51-I13,0)</f>
        <v>0</v>
      </c>
      <c r="I52" s="746">
        <f ca="1">MAX(I13+G51-F51-H13,0)</f>
        <v>0</v>
      </c>
    </row>
    <row r="53" spans="1:10" s="3" customFormat="1" ht="6" customHeight="1">
      <c r="B53" s="641"/>
      <c r="C53" s="641"/>
      <c r="E53" s="641"/>
    </row>
    <row r="54" spans="1:10" s="3" customFormat="1" ht="14.25" customHeight="1">
      <c r="A54" s="747" t="s">
        <v>146</v>
      </c>
      <c r="B54" s="641"/>
      <c r="C54" s="641"/>
      <c r="E54" s="641"/>
      <c r="J54" s="747" t="s">
        <v>146</v>
      </c>
    </row>
    <row r="55" spans="1:10" s="3" customFormat="1" ht="14.25" customHeight="1">
      <c r="A55" s="747" t="str">
        <f ca="1">"- Ngày mở sổ: "&amp;DAY($A$14)&amp;"/"&amp;MONTH($A$14)&amp;"/ " &amp;YEAR($A$14)</f>
        <v>- Ngày mở sổ: 8/7/ 2016</v>
      </c>
      <c r="B55" s="641"/>
      <c r="C55" s="641"/>
      <c r="E55" s="641"/>
      <c r="J55" s="747" t="s">
        <v>33</v>
      </c>
    </row>
    <row r="56" spans="1:10" s="3" customFormat="1" ht="14.25" customHeight="1">
      <c r="B56" s="641"/>
      <c r="C56" s="641"/>
      <c r="E56" s="836" t="str">
        <f ca="1">"Ngày 31 tháng  12  năm  "&amp;YEAR($A$14)</f>
        <v>Ngày 31 tháng  12  năm  2016</v>
      </c>
      <c r="F56" s="836"/>
      <c r="G56" s="836"/>
      <c r="H56" s="836"/>
      <c r="I56" s="836"/>
    </row>
    <row r="57" spans="1:10" s="3" customFormat="1" ht="14.25" customHeight="1">
      <c r="C57" s="641" t="s">
        <v>11</v>
      </c>
      <c r="E57" s="836" t="s">
        <v>12</v>
      </c>
      <c r="F57" s="836"/>
      <c r="G57" s="836"/>
      <c r="H57" s="836"/>
      <c r="I57" s="836"/>
    </row>
    <row r="58" spans="1:10" s="3" customFormat="1" ht="14.25" customHeight="1">
      <c r="C58" s="641" t="s">
        <v>13</v>
      </c>
      <c r="E58" s="836" t="s">
        <v>13</v>
      </c>
      <c r="F58" s="836"/>
      <c r="G58" s="836"/>
      <c r="H58" s="836"/>
      <c r="I58" s="836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40" customWidth="1"/>
    <col min="2" max="2" width="7" style="140" customWidth="1"/>
    <col min="3" max="3" width="9.140625" style="140"/>
    <col min="4" max="4" width="40.140625" style="140" customWidth="1"/>
    <col min="5" max="5" width="6.5703125" style="140" customWidth="1"/>
    <col min="6" max="8" width="10" style="140" customWidth="1"/>
    <col min="9" max="9" width="13.7109375" style="140" customWidth="1"/>
    <col min="10" max="10" width="10" style="140" customWidth="1"/>
    <col min="11" max="11" width="8.7109375" style="140" customWidth="1"/>
    <col min="12" max="12" width="15" style="140" customWidth="1"/>
    <col min="13" max="13" width="10" style="140" customWidth="1"/>
    <col min="14" max="14" width="9.42578125" style="140" customWidth="1"/>
    <col min="15" max="16384" width="9.140625" style="140"/>
  </cols>
  <sheetData>
    <row r="2" spans="1:14">
      <c r="A2" s="380" t="str">
        <f>TH!$A$1</f>
        <v>Đơn vị: CÔNG TY TNHH BAO BÌ GIẤY KIM DUNG PHÁT</v>
      </c>
      <c r="C2" s="141"/>
      <c r="F2" s="643"/>
      <c r="G2" s="643"/>
      <c r="H2" s="643"/>
      <c r="I2" s="643"/>
      <c r="J2" s="882" t="s">
        <v>172</v>
      </c>
      <c r="K2" s="882"/>
      <c r="L2" s="882"/>
      <c r="M2" s="882"/>
      <c r="N2" s="643"/>
    </row>
    <row r="3" spans="1:14">
      <c r="A3" s="407" t="str">
        <f>TH!$A$2</f>
        <v>Địa chỉ: Ấp Rừng Sến, xã Mỹ Hạnh Bắc, Huyện Đức Hòa, Tỉnh Long An, Việt Nam</v>
      </c>
      <c r="C3" s="141"/>
      <c r="F3" s="642"/>
      <c r="G3" s="642"/>
      <c r="H3" s="642"/>
      <c r="I3" s="642"/>
      <c r="J3" s="881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81"/>
      <c r="L3" s="881"/>
      <c r="M3" s="881"/>
      <c r="N3" s="642"/>
    </row>
    <row r="4" spans="1:14">
      <c r="F4" s="642"/>
      <c r="G4" s="642"/>
      <c r="H4" s="642"/>
      <c r="I4" s="642"/>
      <c r="J4" s="881"/>
      <c r="K4" s="881"/>
      <c r="L4" s="881"/>
      <c r="M4" s="881"/>
      <c r="N4" s="642"/>
    </row>
    <row r="5" spans="1:14" ht="23.25" customHeight="1">
      <c r="A5" s="891" t="s">
        <v>173</v>
      </c>
      <c r="B5" s="891"/>
      <c r="C5" s="891"/>
      <c r="D5" s="891"/>
      <c r="E5" s="891"/>
      <c r="F5" s="891"/>
      <c r="G5" s="891"/>
      <c r="H5" s="891"/>
      <c r="I5" s="891"/>
      <c r="J5" s="891"/>
      <c r="K5" s="891"/>
      <c r="L5" s="891"/>
      <c r="M5" s="891"/>
      <c r="N5" s="891"/>
    </row>
    <row r="6" spans="1:14">
      <c r="A6" s="882" t="s">
        <v>205</v>
      </c>
      <c r="B6" s="882" t="s">
        <v>174</v>
      </c>
      <c r="C6" s="882"/>
      <c r="D6" s="882"/>
      <c r="E6" s="882"/>
      <c r="F6" s="882"/>
      <c r="G6" s="882"/>
      <c r="H6" s="882"/>
      <c r="I6" s="882"/>
      <c r="J6" s="882"/>
      <c r="K6" s="882"/>
      <c r="L6" s="882"/>
      <c r="M6" s="882"/>
      <c r="N6" s="882"/>
    </row>
    <row r="7" spans="1:14">
      <c r="C7" s="892"/>
      <c r="D7" s="892"/>
      <c r="E7" s="892"/>
      <c r="F7" s="892"/>
      <c r="G7" s="892"/>
      <c r="H7" s="892"/>
      <c r="I7" s="892"/>
      <c r="J7" s="892"/>
      <c r="K7" s="892"/>
      <c r="L7" s="892"/>
      <c r="M7" s="892"/>
      <c r="N7" s="892"/>
    </row>
    <row r="8" spans="1:14" ht="15.75" customHeight="1">
      <c r="A8" s="885" t="s">
        <v>20</v>
      </c>
      <c r="B8" s="893" t="s">
        <v>1</v>
      </c>
      <c r="C8" s="894"/>
      <c r="D8" s="885" t="s">
        <v>0</v>
      </c>
      <c r="E8" s="885" t="s">
        <v>14</v>
      </c>
      <c r="F8" s="884" t="s">
        <v>21</v>
      </c>
      <c r="G8" s="884"/>
      <c r="H8" s="884"/>
      <c r="I8" s="884"/>
      <c r="J8" s="884"/>
      <c r="K8" s="884"/>
      <c r="L8" s="884" t="s">
        <v>30</v>
      </c>
      <c r="M8" s="884"/>
      <c r="N8" s="884"/>
    </row>
    <row r="9" spans="1:14" ht="15.75" customHeight="1">
      <c r="A9" s="885"/>
      <c r="B9" s="895"/>
      <c r="C9" s="896"/>
      <c r="D9" s="885"/>
      <c r="E9" s="885"/>
      <c r="F9" s="884" t="s">
        <v>175</v>
      </c>
      <c r="G9" s="884"/>
      <c r="H9" s="884"/>
      <c r="I9" s="884" t="s">
        <v>176</v>
      </c>
      <c r="J9" s="884"/>
      <c r="K9" s="884"/>
      <c r="L9" s="885" t="s">
        <v>177</v>
      </c>
      <c r="M9" s="885" t="s">
        <v>178</v>
      </c>
      <c r="N9" s="885" t="s">
        <v>179</v>
      </c>
    </row>
    <row r="10" spans="1:14" ht="15.75" customHeight="1">
      <c r="A10" s="885"/>
      <c r="B10" s="887" t="s">
        <v>15</v>
      </c>
      <c r="C10" s="887" t="s">
        <v>31</v>
      </c>
      <c r="D10" s="885"/>
      <c r="E10" s="885"/>
      <c r="F10" s="889" t="s">
        <v>177</v>
      </c>
      <c r="G10" s="889" t="s">
        <v>178</v>
      </c>
      <c r="H10" s="889" t="s">
        <v>179</v>
      </c>
      <c r="I10" s="889" t="s">
        <v>177</v>
      </c>
      <c r="J10" s="889" t="s">
        <v>178</v>
      </c>
      <c r="K10" s="889" t="s">
        <v>179</v>
      </c>
      <c r="L10" s="886"/>
      <c r="M10" s="886"/>
      <c r="N10" s="886"/>
    </row>
    <row r="11" spans="1:14">
      <c r="A11" s="885"/>
      <c r="B11" s="888"/>
      <c r="C11" s="888"/>
      <c r="D11" s="885"/>
      <c r="E11" s="885"/>
      <c r="F11" s="890"/>
      <c r="G11" s="890"/>
      <c r="H11" s="890"/>
      <c r="I11" s="890"/>
      <c r="J11" s="890"/>
      <c r="K11" s="890"/>
      <c r="L11" s="886"/>
      <c r="M11" s="886"/>
      <c r="N11" s="886"/>
    </row>
    <row r="12" spans="1:14" s="642" customFormat="1">
      <c r="A12" s="142" t="s">
        <v>2</v>
      </c>
      <c r="B12" s="143" t="s">
        <v>3</v>
      </c>
      <c r="C12" s="142" t="s">
        <v>4</v>
      </c>
      <c r="D12" s="142" t="s">
        <v>5</v>
      </c>
      <c r="E12" s="142" t="s">
        <v>6</v>
      </c>
      <c r="F12" s="142">
        <v>1</v>
      </c>
      <c r="G12" s="142"/>
      <c r="H12" s="142"/>
      <c r="I12" s="142"/>
      <c r="J12" s="142"/>
      <c r="K12" s="142"/>
      <c r="L12" s="142"/>
      <c r="M12" s="142"/>
      <c r="N12" s="142"/>
    </row>
    <row r="13" spans="1:14">
      <c r="A13" s="144"/>
      <c r="B13" s="144"/>
      <c r="C13" s="523"/>
      <c r="D13" s="145" t="s">
        <v>7</v>
      </c>
      <c r="E13" s="144"/>
      <c r="F13" s="144"/>
      <c r="G13" s="144"/>
      <c r="H13" s="144"/>
      <c r="I13" s="144"/>
      <c r="J13" s="144"/>
      <c r="K13" s="144"/>
      <c r="L13" s="146">
        <f>CDPS!$D$40</f>
        <v>0</v>
      </c>
      <c r="M13" s="144"/>
      <c r="N13" s="144"/>
    </row>
    <row r="14" spans="1:14">
      <c r="A14" s="522">
        <f>C14</f>
        <v>42516</v>
      </c>
      <c r="B14" s="449" t="s">
        <v>343</v>
      </c>
      <c r="C14" s="522">
        <v>42516</v>
      </c>
      <c r="D14" s="147" t="s">
        <v>357</v>
      </c>
      <c r="E14" s="449" t="s">
        <v>46</v>
      </c>
      <c r="F14" s="147"/>
      <c r="G14" s="147"/>
      <c r="H14" s="147"/>
      <c r="I14" s="195">
        <v>1800000000</v>
      </c>
      <c r="J14" s="147"/>
      <c r="K14" s="147"/>
      <c r="L14" s="451">
        <f>L13+I14-G14</f>
        <v>1800000000</v>
      </c>
      <c r="M14" s="147"/>
      <c r="N14" s="147"/>
    </row>
    <row r="15" spans="1:14">
      <c r="A15" s="449"/>
      <c r="B15" s="147"/>
      <c r="C15" s="449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</row>
    <row r="16" spans="1:14">
      <c r="A16" s="449"/>
      <c r="B16" s="147"/>
      <c r="C16" s="449"/>
      <c r="D16" s="149" t="s">
        <v>128</v>
      </c>
      <c r="E16" s="304" t="s">
        <v>19</v>
      </c>
      <c r="F16" s="150"/>
      <c r="G16" s="150"/>
      <c r="H16" s="150"/>
      <c r="I16" s="450">
        <f>SUM(I13:I15)</f>
        <v>1800000000</v>
      </c>
      <c r="J16" s="150"/>
      <c r="K16" s="150"/>
      <c r="L16" s="452">
        <f>L13+I16-F16</f>
        <v>1800000000</v>
      </c>
      <c r="M16" s="150"/>
      <c r="N16" s="150"/>
    </row>
    <row r="17" spans="1:14">
      <c r="A17" s="151"/>
      <c r="B17" s="151"/>
      <c r="C17" s="151"/>
      <c r="D17" s="152" t="s">
        <v>10</v>
      </c>
      <c r="E17" s="305" t="s">
        <v>19</v>
      </c>
      <c r="F17" s="151"/>
      <c r="G17" s="151"/>
      <c r="H17" s="151"/>
      <c r="I17" s="151"/>
      <c r="J17" s="151"/>
      <c r="K17" s="151"/>
      <c r="L17" s="153">
        <f>L13+L16</f>
        <v>1800000000</v>
      </c>
      <c r="M17" s="151"/>
      <c r="N17" s="151"/>
    </row>
    <row r="19" spans="1:14">
      <c r="C19" s="154" t="s">
        <v>180</v>
      </c>
    </row>
    <row r="20" spans="1:14">
      <c r="C20" s="675" t="str">
        <f>"- Ngày mở sổ: "&amp;DAY(C14)&amp;"/"&amp;MONTH(C14)&amp;"/ " &amp;YEAR(C14)</f>
        <v>- Ngày mở sổ: 26/5/ 2016</v>
      </c>
    </row>
    <row r="21" spans="1:14">
      <c r="B21" s="155"/>
      <c r="C21" s="155"/>
      <c r="D21" s="155"/>
      <c r="E21" s="883" t="str">
        <f>"Ngày 31 tháng  12  năm  "&amp;YEAR($A$14)</f>
        <v>Ngày 31 tháng  12  năm  2016</v>
      </c>
      <c r="F21" s="883"/>
      <c r="G21" s="883"/>
      <c r="H21" s="883"/>
      <c r="I21" s="883"/>
      <c r="J21" s="883"/>
      <c r="K21" s="883"/>
      <c r="L21" s="883"/>
      <c r="M21" s="883"/>
      <c r="N21" s="883"/>
    </row>
    <row r="22" spans="1:14">
      <c r="A22" s="883" t="s">
        <v>11</v>
      </c>
      <c r="B22" s="883"/>
      <c r="C22" s="883"/>
      <c r="D22" s="883"/>
      <c r="E22" s="883" t="s">
        <v>12</v>
      </c>
      <c r="F22" s="883"/>
      <c r="G22" s="883"/>
      <c r="H22" s="883"/>
      <c r="I22" s="883"/>
      <c r="J22" s="883"/>
      <c r="K22" s="883"/>
      <c r="L22" s="883"/>
      <c r="M22" s="883"/>
      <c r="N22" s="883"/>
    </row>
    <row r="23" spans="1:14">
      <c r="A23" s="883" t="s">
        <v>13</v>
      </c>
      <c r="B23" s="883"/>
      <c r="C23" s="883"/>
      <c r="D23" s="883"/>
      <c r="E23" s="883" t="s">
        <v>13</v>
      </c>
      <c r="F23" s="883"/>
      <c r="G23" s="883"/>
      <c r="H23" s="883"/>
      <c r="I23" s="883"/>
      <c r="J23" s="883"/>
      <c r="K23" s="883"/>
      <c r="L23" s="883"/>
      <c r="M23" s="883"/>
      <c r="N23" s="883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165" activePane="bottomLeft" state="frozen"/>
      <selection activeCell="B6" sqref="B6"/>
      <selection pane="bottomLeft" activeCell="J187" sqref="J187:L187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4" width="7.71093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93" customFormat="1" ht="14.25" customHeight="1">
      <c r="B1" s="380" t="str">
        <f>TH!$A$1</f>
        <v>Đơn vị: CÔNG TY TNHH BAO BÌ GIẤY KIM DUNG PHÁT</v>
      </c>
      <c r="C1" s="156"/>
      <c r="D1" s="156"/>
      <c r="E1" s="156"/>
      <c r="F1" s="157"/>
      <c r="G1" s="157"/>
      <c r="H1" s="839" t="s">
        <v>181</v>
      </c>
      <c r="I1" s="839"/>
      <c r="J1" s="839"/>
      <c r="K1" s="839"/>
      <c r="L1" s="839"/>
    </row>
    <row r="2" spans="1:12" s="293" customFormat="1" ht="14.25" customHeight="1">
      <c r="B2" s="899" t="str">
        <f>TH!$A$2</f>
        <v>Địa chỉ: Ấp Rừng Sến, xã Mỹ Hạnh Bắc, Huyện Đức Hòa, Tỉnh Long An, Việt Nam</v>
      </c>
      <c r="C2" s="899"/>
      <c r="D2" s="899"/>
      <c r="E2" s="899"/>
      <c r="F2" s="899"/>
      <c r="G2" s="899"/>
      <c r="H2" s="840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40"/>
      <c r="J2" s="840"/>
      <c r="K2" s="840"/>
      <c r="L2" s="840"/>
    </row>
    <row r="3" spans="1:12" s="293" customFormat="1" ht="14.25" customHeight="1">
      <c r="B3" s="899"/>
      <c r="C3" s="899"/>
      <c r="D3" s="899"/>
      <c r="E3" s="899"/>
      <c r="F3" s="899"/>
      <c r="G3" s="899"/>
      <c r="H3" s="840"/>
      <c r="I3" s="840"/>
      <c r="J3" s="840"/>
      <c r="K3" s="840"/>
      <c r="L3" s="840"/>
    </row>
    <row r="4" spans="1:12" s="158" customFormat="1" ht="49.5" customHeight="1">
      <c r="B4" s="897" t="s">
        <v>182</v>
      </c>
      <c r="C4" s="897"/>
      <c r="D4" s="897"/>
      <c r="E4" s="897"/>
      <c r="F4" s="897"/>
      <c r="G4" s="897"/>
      <c r="H4" s="897"/>
      <c r="I4" s="897"/>
      <c r="J4" s="897"/>
      <c r="K4" s="897"/>
      <c r="L4" s="897"/>
    </row>
    <row r="5" spans="1:12" s="158" customFormat="1" ht="15" customHeight="1">
      <c r="B5" s="898" t="s">
        <v>183</v>
      </c>
      <c r="C5" s="898"/>
      <c r="D5" s="898"/>
      <c r="E5" s="898"/>
      <c r="F5" s="898"/>
      <c r="G5" s="898"/>
      <c r="H5" s="898"/>
      <c r="I5" s="898"/>
      <c r="J5" s="898"/>
      <c r="K5" s="898"/>
      <c r="L5" s="898"/>
    </row>
    <row r="6" spans="1:12" s="751" customFormat="1" ht="20.25" customHeight="1">
      <c r="B6" s="900" t="s">
        <v>34</v>
      </c>
      <c r="C6" s="901" t="s">
        <v>184</v>
      </c>
      <c r="D6" s="901" t="s">
        <v>185</v>
      </c>
      <c r="E6" s="902" t="s">
        <v>186</v>
      </c>
      <c r="F6" s="902"/>
      <c r="G6" s="903" t="s">
        <v>187</v>
      </c>
      <c r="H6" s="903"/>
      <c r="I6" s="903" t="s">
        <v>188</v>
      </c>
      <c r="J6" s="903"/>
      <c r="K6" s="903" t="s">
        <v>189</v>
      </c>
      <c r="L6" s="903"/>
    </row>
    <row r="7" spans="1:12" s="751" customFormat="1" ht="20.25" customHeight="1">
      <c r="B7" s="900"/>
      <c r="C7" s="901"/>
      <c r="D7" s="901"/>
      <c r="E7" s="753" t="s">
        <v>190</v>
      </c>
      <c r="F7" s="753" t="s">
        <v>191</v>
      </c>
      <c r="G7" s="753" t="s">
        <v>190</v>
      </c>
      <c r="H7" s="753" t="s">
        <v>191</v>
      </c>
      <c r="I7" s="753" t="s">
        <v>190</v>
      </c>
      <c r="J7" s="753" t="s">
        <v>191</v>
      </c>
      <c r="K7" s="753" t="s">
        <v>190</v>
      </c>
      <c r="L7" s="753" t="s">
        <v>191</v>
      </c>
    </row>
    <row r="8" spans="1:12" s="754" customFormat="1" ht="15">
      <c r="B8" s="755" t="s">
        <v>2</v>
      </c>
      <c r="C8" s="752" t="s">
        <v>3</v>
      </c>
      <c r="D8" s="752"/>
      <c r="E8" s="753">
        <v>1</v>
      </c>
      <c r="F8" s="753">
        <v>1</v>
      </c>
      <c r="G8" s="753">
        <v>2</v>
      </c>
      <c r="H8" s="753">
        <v>2</v>
      </c>
      <c r="I8" s="753">
        <v>3</v>
      </c>
      <c r="J8" s="753">
        <v>3</v>
      </c>
      <c r="K8" s="753">
        <v>4</v>
      </c>
      <c r="L8" s="753">
        <v>4</v>
      </c>
    </row>
    <row r="9" spans="1:12" s="751" customFormat="1" ht="18" customHeight="1">
      <c r="A9" s="453" t="str">
        <f>IF(B9&lt;&gt;"","VL","")</f>
        <v>VL</v>
      </c>
      <c r="B9" s="756">
        <f>IF(C9&lt;&gt;"",ROW()-8,"")</f>
        <v>1</v>
      </c>
      <c r="C9" s="757" t="s">
        <v>442</v>
      </c>
      <c r="D9" s="758" t="s">
        <v>325</v>
      </c>
      <c r="E9" s="744"/>
      <c r="F9" s="744"/>
      <c r="G9" s="744">
        <f t="array" ref="G9">SUM(IF("1522"&amp;C9=KHN&amp;MH,SL))</f>
        <v>119810</v>
      </c>
      <c r="H9" s="744">
        <f t="array" ref="H9">SUM(IF("1522"&amp;C9=KHN&amp;MH,TH))</f>
        <v>94538600</v>
      </c>
      <c r="I9" s="744">
        <f t="array" ref="I9">SUM(IF("1522"&amp;C9=KHC&amp;MH,SL))</f>
        <v>92240</v>
      </c>
      <c r="J9" s="744">
        <f t="array" ref="J9">SUM(IF("1522"&amp;C9=KHC&amp;MH,TH))</f>
        <v>72482600</v>
      </c>
      <c r="K9" s="744">
        <f t="shared" ref="K9:L11" si="0">E9+G9-I9</f>
        <v>27570</v>
      </c>
      <c r="L9" s="744">
        <f t="shared" si="0"/>
        <v>22056000</v>
      </c>
    </row>
    <row r="10" spans="1:12" s="751" customFormat="1" ht="18" customHeight="1">
      <c r="A10" s="453" t="str">
        <f>IF(B10&lt;&gt;"","VL","")</f>
        <v>VL</v>
      </c>
      <c r="B10" s="756">
        <f t="shared" ref="B10:B12" si="1">IF(C10&lt;&gt;"",ROW()-8,"")</f>
        <v>2</v>
      </c>
      <c r="C10" s="757" t="s">
        <v>775</v>
      </c>
      <c r="D10" s="758" t="s">
        <v>325</v>
      </c>
      <c r="E10" s="725"/>
      <c r="F10" s="725"/>
      <c r="G10" s="744">
        <f t="array" ref="G10">SUM(IF("1522"&amp;C10=KHN&amp;MH,SL))</f>
        <v>121270</v>
      </c>
      <c r="H10" s="744">
        <f t="array" ref="H10">SUM(IF("1522"&amp;C10=KHN&amp;MH,TH))</f>
        <v>94166500</v>
      </c>
      <c r="I10" s="744">
        <f t="array" ref="I10">SUM(IF("1522"&amp;C10=KHC&amp;MH,SL))</f>
        <v>121270</v>
      </c>
      <c r="J10" s="744">
        <f t="array" ref="J10">SUM(IF("1522"&amp;C10=KHC&amp;MH,TH))</f>
        <v>94166500</v>
      </c>
      <c r="K10" s="725">
        <f t="shared" si="0"/>
        <v>0</v>
      </c>
      <c r="L10" s="725">
        <f t="shared" si="0"/>
        <v>0</v>
      </c>
    </row>
    <row r="11" spans="1:12" s="751" customFormat="1" ht="18" customHeight="1">
      <c r="A11" s="453" t="str">
        <f>IF(B11&lt;&gt;"","VL","")</f>
        <v>VL</v>
      </c>
      <c r="B11" s="756">
        <f t="shared" si="1"/>
        <v>3</v>
      </c>
      <c r="C11" s="757" t="s">
        <v>860</v>
      </c>
      <c r="D11" s="758" t="s">
        <v>325</v>
      </c>
      <c r="E11" s="725"/>
      <c r="F11" s="725"/>
      <c r="G11" s="744">
        <f t="array" ref="G11">SUM(IF("1522"&amp;C11=KHN&amp;MH,SL))</f>
        <v>830</v>
      </c>
      <c r="H11" s="744">
        <f t="array" ref="H11">SUM(IF("1522"&amp;C11=KHN&amp;MH,TH))</f>
        <v>19505000</v>
      </c>
      <c r="I11" s="744">
        <f t="array" ref="I11">SUM(IF("1522"&amp;C11=KHC&amp;MH,SL))</f>
        <v>830</v>
      </c>
      <c r="J11" s="744">
        <f t="array" ref="J11">SUM(IF("1522"&amp;C11=KHC&amp;MH,TH))</f>
        <v>19505000</v>
      </c>
      <c r="K11" s="725">
        <f t="shared" si="0"/>
        <v>0</v>
      </c>
      <c r="L11" s="725">
        <f t="shared" si="0"/>
        <v>0</v>
      </c>
    </row>
    <row r="12" spans="1:12" s="751" customFormat="1" ht="18" customHeight="1">
      <c r="A12" s="453" t="str">
        <f t="shared" ref="A12" si="2">IF(B12&lt;&gt;"","VL","")</f>
        <v>VL</v>
      </c>
      <c r="B12" s="756">
        <f t="shared" si="1"/>
        <v>4</v>
      </c>
      <c r="C12" s="757" t="s">
        <v>862</v>
      </c>
      <c r="D12" s="758" t="s">
        <v>325</v>
      </c>
      <c r="E12" s="725"/>
      <c r="F12" s="725"/>
      <c r="G12" s="744">
        <f t="array" ref="G12">SUM(IF("1522"&amp;C12=KHN&amp;MH,SL))</f>
        <v>4250</v>
      </c>
      <c r="H12" s="744">
        <f t="array" ref="H12">SUM(IF("1522"&amp;C12=KHN&amp;MH,TH))</f>
        <v>38250000</v>
      </c>
      <c r="I12" s="744">
        <f t="array" ref="I12">SUM(IF("1522"&amp;C12=KHC&amp;MH,SL))</f>
        <v>2250</v>
      </c>
      <c r="J12" s="744">
        <f t="array" ref="J12">SUM(IF("1522"&amp;C12=KHC&amp;MH,TH))</f>
        <v>20250000</v>
      </c>
      <c r="K12" s="725">
        <f t="shared" ref="K12" si="3">E12+G12-I12</f>
        <v>2000</v>
      </c>
      <c r="L12" s="725">
        <f t="shared" ref="L12" si="4">F12+H12-J12</f>
        <v>18000000</v>
      </c>
    </row>
    <row r="13" spans="1:12" s="751" customFormat="1" ht="18.75" customHeight="1">
      <c r="A13" s="453" t="str">
        <f>IF(B13&lt;&gt;"","VL","")</f>
        <v/>
      </c>
      <c r="B13" s="756" t="str">
        <f>IF(C13&lt;&gt;"",ROW()-11,"")</f>
        <v/>
      </c>
      <c r="C13" s="759"/>
      <c r="D13" s="760"/>
      <c r="E13" s="761"/>
      <c r="F13" s="761"/>
      <c r="G13" s="744"/>
      <c r="H13" s="761"/>
      <c r="I13" s="761"/>
      <c r="J13" s="761"/>
      <c r="K13" s="761"/>
      <c r="L13" s="761"/>
    </row>
    <row r="14" spans="1:12" s="751" customFormat="1" ht="18.75" customHeight="1">
      <c r="A14" s="453" t="str">
        <f>IF(B14&lt;&gt;"","VL","")</f>
        <v/>
      </c>
      <c r="B14" s="755"/>
      <c r="C14" s="762" t="s">
        <v>324</v>
      </c>
      <c r="D14" s="733"/>
      <c r="E14" s="733">
        <f t="shared" ref="E14:L14" si="5">SUM(E9:E13)</f>
        <v>0</v>
      </c>
      <c r="F14" s="733">
        <f t="shared" si="5"/>
        <v>0</v>
      </c>
      <c r="G14" s="733">
        <f t="shared" si="5"/>
        <v>246160</v>
      </c>
      <c r="H14" s="733">
        <f t="shared" si="5"/>
        <v>246460100</v>
      </c>
      <c r="I14" s="733">
        <f t="shared" si="5"/>
        <v>216590</v>
      </c>
      <c r="J14" s="733">
        <f t="shared" si="5"/>
        <v>206404100</v>
      </c>
      <c r="K14" s="733">
        <f t="shared" si="5"/>
        <v>29570</v>
      </c>
      <c r="L14" s="733">
        <f t="shared" si="5"/>
        <v>40056000</v>
      </c>
    </row>
    <row r="15" spans="1:12" s="751" customFormat="1" ht="18.75" hidden="1" customHeight="1">
      <c r="A15" s="453"/>
      <c r="B15" s="763"/>
      <c r="C15" s="764"/>
      <c r="D15" s="765"/>
      <c r="E15" s="765"/>
      <c r="F15" s="765">
        <f>F14-CDPS!C20</f>
        <v>0</v>
      </c>
      <c r="G15" s="765"/>
      <c r="H15" s="765">
        <f>H14-CDPS!E20</f>
        <v>0</v>
      </c>
      <c r="I15" s="765"/>
      <c r="J15" s="765">
        <f>J14-CDPS!F20</f>
        <v>0</v>
      </c>
      <c r="K15" s="765"/>
      <c r="L15" s="765">
        <f>L14-CDPS!G20</f>
        <v>0</v>
      </c>
    </row>
    <row r="16" spans="1:12" s="751" customFormat="1" ht="18.75" customHeight="1">
      <c r="A16" s="453" t="str">
        <f t="shared" ref="A16:A21" si="6">IF(B16&lt;&gt;"","NL","")</f>
        <v>NL</v>
      </c>
      <c r="B16" s="766">
        <f>IF(C16&lt;&gt;"",B15+1,"")</f>
        <v>1</v>
      </c>
      <c r="C16" s="757" t="s">
        <v>403</v>
      </c>
      <c r="D16" s="758" t="s">
        <v>325</v>
      </c>
      <c r="E16" s="744"/>
      <c r="F16" s="744"/>
      <c r="G16" s="744">
        <f t="array" ref="G16">SUM(IF("1521"&amp;C16=KHN&amp;MH,SL))</f>
        <v>39900</v>
      </c>
      <c r="H16" s="744">
        <f t="array" ref="H16">SUM(IF("1521"&amp;C16=KHN&amp;MH,TH))</f>
        <v>302211200</v>
      </c>
      <c r="I16" s="744">
        <f t="array" ref="I16">SUM(IF("1521"&amp;C16=KHC&amp;MH,SL))</f>
        <v>39900</v>
      </c>
      <c r="J16" s="744">
        <f t="array" ref="J16">SUM(IF("1521"&amp;C16=KHC&amp;MH,TH))</f>
        <v>302211200</v>
      </c>
      <c r="K16" s="744">
        <f t="shared" ref="K16:K21" si="7">E16+G16-I16</f>
        <v>0</v>
      </c>
      <c r="L16" s="744">
        <f t="shared" ref="L16:L21" si="8">F16+H16-J16</f>
        <v>0</v>
      </c>
    </row>
    <row r="17" spans="1:12" s="751" customFormat="1" ht="18.75" customHeight="1">
      <c r="A17" s="453" t="str">
        <f t="shared" si="6"/>
        <v>NL</v>
      </c>
      <c r="B17" s="766">
        <f t="shared" ref="B17:B21" si="9">IF(C17&lt;&gt;"",B16+1,"")</f>
        <v>2</v>
      </c>
      <c r="C17" s="757" t="s">
        <v>447</v>
      </c>
      <c r="D17" s="758" t="s">
        <v>325</v>
      </c>
      <c r="E17" s="725"/>
      <c r="F17" s="725"/>
      <c r="G17" s="744">
        <f t="array" ref="G17">SUM(IF("1521"&amp;C17=KHN&amp;MH,SL))</f>
        <v>10202</v>
      </c>
      <c r="H17" s="744">
        <f t="array" ref="H17">SUM(IF("1521"&amp;C17=KHN&amp;MH,TH))</f>
        <v>90797800</v>
      </c>
      <c r="I17" s="744">
        <f t="array" ref="I17">SUM(IF("1521"&amp;C17=KHC&amp;MH,SL))</f>
        <v>10202</v>
      </c>
      <c r="J17" s="744">
        <f t="array" ref="J17">SUM(IF("1521"&amp;C17=KHC&amp;MH,TH))</f>
        <v>90797800</v>
      </c>
      <c r="K17" s="725">
        <f t="shared" si="7"/>
        <v>0</v>
      </c>
      <c r="L17" s="725">
        <f t="shared" si="8"/>
        <v>0</v>
      </c>
    </row>
    <row r="18" spans="1:12" s="751" customFormat="1" ht="18.75" customHeight="1">
      <c r="A18" s="453" t="str">
        <f t="shared" si="6"/>
        <v>NL</v>
      </c>
      <c r="B18" s="766">
        <f t="shared" si="9"/>
        <v>3</v>
      </c>
      <c r="C18" s="757" t="s">
        <v>448</v>
      </c>
      <c r="D18" s="758" t="s">
        <v>325</v>
      </c>
      <c r="E18" s="725"/>
      <c r="F18" s="725"/>
      <c r="G18" s="744">
        <f t="array" ref="G18">SUM(IF("1521"&amp;C18=KHN&amp;MH,SL))</f>
        <v>21716</v>
      </c>
      <c r="H18" s="744">
        <f t="array" ref="H18">SUM(IF("1521"&amp;C18=KHN&amp;MH,TH))</f>
        <v>184586000</v>
      </c>
      <c r="I18" s="744">
        <f t="array" ref="I18">SUM(IF("1521"&amp;C18=KHC&amp;MH,SL))</f>
        <v>21716</v>
      </c>
      <c r="J18" s="744">
        <f t="array" ref="J18">SUM(IF("1521"&amp;C18=KHC&amp;MH,TH))</f>
        <v>184586000</v>
      </c>
      <c r="K18" s="725">
        <f t="shared" si="7"/>
        <v>0</v>
      </c>
      <c r="L18" s="725">
        <f t="shared" si="8"/>
        <v>0</v>
      </c>
    </row>
    <row r="19" spans="1:12" s="751" customFormat="1" ht="18.75" customHeight="1">
      <c r="A19" s="453" t="str">
        <f t="shared" si="6"/>
        <v>NL</v>
      </c>
      <c r="B19" s="766">
        <f t="shared" si="9"/>
        <v>4</v>
      </c>
      <c r="C19" s="757" t="s">
        <v>405</v>
      </c>
      <c r="D19" s="758" t="s">
        <v>325</v>
      </c>
      <c r="E19" s="725"/>
      <c r="F19" s="725"/>
      <c r="G19" s="744">
        <f t="array" ref="G19">SUM(IF("1521"&amp;C19=KHN&amp;MH,SL))</f>
        <v>13252</v>
      </c>
      <c r="H19" s="744">
        <f t="array" ref="H19">SUM(IF("1521"&amp;C19=KHN&amp;MH,TH))</f>
        <v>112642000</v>
      </c>
      <c r="I19" s="744">
        <f t="array" ref="I19">SUM(IF("1521"&amp;C19=KHC&amp;MH,SL))</f>
        <v>13252</v>
      </c>
      <c r="J19" s="744">
        <f t="array" ref="J19">SUM(IF("1521"&amp;C19=KHC&amp;MH,TH))</f>
        <v>112642000</v>
      </c>
      <c r="K19" s="725">
        <f t="shared" si="7"/>
        <v>0</v>
      </c>
      <c r="L19" s="725">
        <f t="shared" si="8"/>
        <v>0</v>
      </c>
    </row>
    <row r="20" spans="1:12" s="751" customFormat="1" ht="18" customHeight="1">
      <c r="A20" s="453" t="str">
        <f t="shared" si="6"/>
        <v>NL</v>
      </c>
      <c r="B20" s="766">
        <f t="shared" si="9"/>
        <v>5</v>
      </c>
      <c r="C20" s="757" t="s">
        <v>781</v>
      </c>
      <c r="D20" s="758" t="s">
        <v>325</v>
      </c>
      <c r="E20" s="725"/>
      <c r="F20" s="725"/>
      <c r="G20" s="744">
        <f t="array" ref="G20">SUM(IF("1521"&amp;C20=KHN&amp;MH,SL))</f>
        <v>49543</v>
      </c>
      <c r="H20" s="744">
        <f t="array" ref="H20">SUM(IF("1521"&amp;C20=KHN&amp;MH,TH))</f>
        <v>392931800</v>
      </c>
      <c r="I20" s="744">
        <f t="array" ref="I20">SUM(IF("1521"&amp;C20=KHC&amp;MH,SL))</f>
        <v>24273</v>
      </c>
      <c r="J20" s="744">
        <f t="array" ref="J20">SUM(IF("1521"&amp;C20=KHC&amp;MH,TH))</f>
        <v>195825800</v>
      </c>
      <c r="K20" s="725">
        <f t="shared" si="7"/>
        <v>25270</v>
      </c>
      <c r="L20" s="725">
        <f t="shared" si="8"/>
        <v>197106000</v>
      </c>
    </row>
    <row r="21" spans="1:12" s="751" customFormat="1" ht="18" customHeight="1">
      <c r="A21" s="453" t="str">
        <f t="shared" si="6"/>
        <v>NL</v>
      </c>
      <c r="B21" s="766">
        <f t="shared" si="9"/>
        <v>6</v>
      </c>
      <c r="C21" s="757" t="s">
        <v>877</v>
      </c>
      <c r="D21" s="758" t="s">
        <v>325</v>
      </c>
      <c r="E21" s="725"/>
      <c r="F21" s="725"/>
      <c r="G21" s="744">
        <f t="array" ref="G21">SUM(IF("1521"&amp;C21=KHN&amp;MH,SL))</f>
        <v>55700</v>
      </c>
      <c r="H21" s="744">
        <f t="array" ref="H21">SUM(IF("1521"&amp;C21=KHN&amp;MH,TH))</f>
        <v>467880000</v>
      </c>
      <c r="I21" s="744">
        <f t="array" ref="I21">SUM(IF("1521"&amp;C21=KHC&amp;MH,SL))</f>
        <v>28000</v>
      </c>
      <c r="J21" s="744">
        <f t="array" ref="J21">SUM(IF("1521"&amp;C21=KHC&amp;MH,TH))</f>
        <v>235200000</v>
      </c>
      <c r="K21" s="725">
        <f t="shared" si="7"/>
        <v>27700</v>
      </c>
      <c r="L21" s="725">
        <f t="shared" si="8"/>
        <v>232680000</v>
      </c>
    </row>
    <row r="22" spans="1:12" s="751" customFormat="1" ht="19.5" customHeight="1">
      <c r="A22" s="453" t="str">
        <f t="shared" ref="A22:A23" si="10">IF(B22&lt;&gt;"","NL","")</f>
        <v/>
      </c>
      <c r="B22" s="756" t="str">
        <f>IF(C22&lt;&gt;"",#REF!+1,"")</f>
        <v/>
      </c>
      <c r="C22" s="767"/>
      <c r="D22" s="768"/>
      <c r="E22" s="769"/>
      <c r="F22" s="769"/>
      <c r="G22" s="769"/>
      <c r="H22" s="769"/>
      <c r="I22" s="769"/>
      <c r="J22" s="769"/>
      <c r="K22" s="725"/>
      <c r="L22" s="725"/>
    </row>
    <row r="23" spans="1:12" s="751" customFormat="1" ht="19.5" customHeight="1">
      <c r="A23" s="453" t="str">
        <f t="shared" si="10"/>
        <v/>
      </c>
      <c r="B23" s="755"/>
      <c r="C23" s="762" t="s">
        <v>328</v>
      </c>
      <c r="D23" s="755"/>
      <c r="E23" s="733">
        <f t="shared" ref="E23:L23" si="11">SUM(E16:E22)</f>
        <v>0</v>
      </c>
      <c r="F23" s="733">
        <f t="shared" si="11"/>
        <v>0</v>
      </c>
      <c r="G23" s="733">
        <f t="shared" si="11"/>
        <v>190313</v>
      </c>
      <c r="H23" s="733">
        <f t="shared" si="11"/>
        <v>1551048800</v>
      </c>
      <c r="I23" s="733">
        <f t="shared" si="11"/>
        <v>137343</v>
      </c>
      <c r="J23" s="733">
        <f t="shared" si="11"/>
        <v>1121262800</v>
      </c>
      <c r="K23" s="733">
        <f t="shared" si="11"/>
        <v>52970</v>
      </c>
      <c r="L23" s="733">
        <f t="shared" si="11"/>
        <v>429786000</v>
      </c>
    </row>
    <row r="24" spans="1:12" s="751" customFormat="1" ht="19.5" hidden="1" customHeight="1">
      <c r="A24" s="453"/>
      <c r="B24" s="763"/>
      <c r="C24" s="764"/>
      <c r="D24" s="763"/>
      <c r="E24" s="765"/>
      <c r="F24" s="765">
        <f>F23-CDPS!C19</f>
        <v>0</v>
      </c>
      <c r="G24" s="765"/>
      <c r="H24" s="765">
        <f>H23-CDPS!E19</f>
        <v>0</v>
      </c>
      <c r="I24" s="765"/>
      <c r="J24" s="765">
        <f>J23-CDPS!F19</f>
        <v>0</v>
      </c>
      <c r="K24" s="765"/>
      <c r="L24" s="765">
        <f>L23-CDPS!G19</f>
        <v>0</v>
      </c>
    </row>
    <row r="25" spans="1:12" s="751" customFormat="1" ht="19.5" customHeight="1">
      <c r="A25" s="453" t="str">
        <f>IF(B25&lt;&gt;"","TP","")</f>
        <v>TP</v>
      </c>
      <c r="B25" s="770">
        <f>IF(C25&lt;&gt;"",B24+1,"")</f>
        <v>1</v>
      </c>
      <c r="C25" s="771" t="s">
        <v>665</v>
      </c>
      <c r="D25" s="772" t="s">
        <v>969</v>
      </c>
      <c r="E25" s="744"/>
      <c r="F25" s="744"/>
      <c r="G25" s="744">
        <f t="array" ref="G25">SUM(IF("155"&amp;C25=KHN&amp;MH,SL))</f>
        <v>520</v>
      </c>
      <c r="H25" s="744">
        <f t="array" ref="H25">SUM(IF("155"&amp;C25=KHN&amp;MH,TH))</f>
        <v>3046505</v>
      </c>
      <c r="I25" s="744">
        <f t="array" ref="I25">SUM(IF("155"&amp;C25=KHC&amp;MH,SL))</f>
        <v>520</v>
      </c>
      <c r="J25" s="744">
        <f t="array" ref="J25">SUM(IF("155"&amp;C25=KHC&amp;MH,TH))</f>
        <v>3046505</v>
      </c>
      <c r="K25" s="744">
        <f t="shared" ref="K25:K56" si="12">E25+G25-I25</f>
        <v>0</v>
      </c>
      <c r="L25" s="744">
        <f t="shared" ref="L25:L56" si="13">F25+H25-J25</f>
        <v>0</v>
      </c>
    </row>
    <row r="26" spans="1:12" s="751" customFormat="1" ht="18.75" customHeight="1">
      <c r="A26" s="453" t="str">
        <f>IF(B26&lt;&gt;"","TP","")</f>
        <v>TP</v>
      </c>
      <c r="B26" s="770">
        <f>IF(C26&lt;&gt;"",B25+1,"")</f>
        <v>2</v>
      </c>
      <c r="C26" s="773" t="s">
        <v>368</v>
      </c>
      <c r="D26" s="772" t="s">
        <v>969</v>
      </c>
      <c r="E26" s="725"/>
      <c r="F26" s="725"/>
      <c r="G26" s="744">
        <f t="array" ref="G26">SUM(IF("155"&amp;C26=KHN&amp;MH,SL))</f>
        <v>500</v>
      </c>
      <c r="H26" s="744">
        <f t="array" ref="H26">SUM(IF("155"&amp;C26=KHN&amp;MH,TH))</f>
        <v>9521181</v>
      </c>
      <c r="I26" s="744">
        <f t="array" ref="I26">SUM(IF("155"&amp;C26=KHC&amp;MH,SL))</f>
        <v>500</v>
      </c>
      <c r="J26" s="744">
        <f t="array" ref="J26">SUM(IF("155"&amp;C26=KHC&amp;MH,TH))</f>
        <v>9521181</v>
      </c>
      <c r="K26" s="725">
        <f t="shared" si="12"/>
        <v>0</v>
      </c>
      <c r="L26" s="725">
        <f t="shared" si="13"/>
        <v>0</v>
      </c>
    </row>
    <row r="27" spans="1:12" s="751" customFormat="1" ht="18.75" customHeight="1">
      <c r="A27" s="453" t="str">
        <f t="shared" ref="A27:A90" si="14">IF(B27&lt;&gt;"","TP","")</f>
        <v>TP</v>
      </c>
      <c r="B27" s="770">
        <f t="shared" ref="B27:B90" si="15">IF(C27&lt;&gt;"",B26+1,"")</f>
        <v>3</v>
      </c>
      <c r="C27" s="757" t="s">
        <v>491</v>
      </c>
      <c r="D27" s="772" t="s">
        <v>970</v>
      </c>
      <c r="E27" s="725"/>
      <c r="F27" s="725"/>
      <c r="G27" s="744">
        <f t="array" ref="G27">SUM(IF("155"&amp;C27=KHN&amp;MH,SL))</f>
        <v>73</v>
      </c>
      <c r="H27" s="744">
        <f t="array" ref="H27">SUM(IF("155"&amp;C27=KHN&amp;MH,TH))</f>
        <v>3141248</v>
      </c>
      <c r="I27" s="744">
        <f t="array" ref="I27">SUM(IF("155"&amp;C27=KHC&amp;MH,SL))</f>
        <v>73</v>
      </c>
      <c r="J27" s="744">
        <f t="array" ref="J27">SUM(IF("155"&amp;C27=KHC&amp;MH,TH))</f>
        <v>3141248</v>
      </c>
      <c r="K27" s="725">
        <f t="shared" si="12"/>
        <v>0</v>
      </c>
      <c r="L27" s="725">
        <f t="shared" si="13"/>
        <v>0</v>
      </c>
    </row>
    <row r="28" spans="1:12" s="751" customFormat="1" ht="18.75" customHeight="1">
      <c r="A28" s="453" t="str">
        <f t="shared" si="14"/>
        <v>TP</v>
      </c>
      <c r="B28" s="770">
        <f t="shared" si="15"/>
        <v>4</v>
      </c>
      <c r="C28" s="771" t="s">
        <v>935</v>
      </c>
      <c r="D28" s="772" t="s">
        <v>970</v>
      </c>
      <c r="E28" s="725"/>
      <c r="F28" s="725"/>
      <c r="G28" s="744">
        <f t="array" ref="G28">SUM(IF("155"&amp;C28=KHN&amp;MH,SL))</f>
        <v>650</v>
      </c>
      <c r="H28" s="744">
        <f t="array" ref="H28">SUM(IF("155"&amp;C28=KHN&amp;MH,TH))</f>
        <v>544019</v>
      </c>
      <c r="I28" s="744">
        <f t="array" ref="I28">SUM(IF("155"&amp;C28=KHC&amp;MH,SL))</f>
        <v>650</v>
      </c>
      <c r="J28" s="744">
        <f t="array" ref="J28">SUM(IF("155"&amp;C28=KHC&amp;MH,TH))</f>
        <v>544019</v>
      </c>
      <c r="K28" s="725">
        <f t="shared" si="12"/>
        <v>0</v>
      </c>
      <c r="L28" s="725">
        <f t="shared" si="13"/>
        <v>0</v>
      </c>
    </row>
    <row r="29" spans="1:12" s="751" customFormat="1" ht="18.75" customHeight="1">
      <c r="A29" s="453" t="str">
        <f t="shared" si="14"/>
        <v>TP</v>
      </c>
      <c r="B29" s="770">
        <f t="shared" si="15"/>
        <v>5</v>
      </c>
      <c r="C29" s="771" t="s">
        <v>679</v>
      </c>
      <c r="D29" s="772" t="s">
        <v>969</v>
      </c>
      <c r="E29" s="725"/>
      <c r="F29" s="725"/>
      <c r="G29" s="744">
        <f t="array" ref="G29">SUM(IF("155"&amp;C29=KHN&amp;MH,SL))</f>
        <v>4600</v>
      </c>
      <c r="H29" s="744">
        <f t="array" ref="H29">SUM(IF("155"&amp;C29=KHN&amp;MH,TH))</f>
        <v>3149982</v>
      </c>
      <c r="I29" s="744">
        <f t="array" ref="I29">SUM(IF("155"&amp;C29=KHC&amp;MH,SL))</f>
        <v>4600</v>
      </c>
      <c r="J29" s="744">
        <f t="array" ref="J29">SUM(IF("155"&amp;C29=KHC&amp;MH,TH))</f>
        <v>3149982</v>
      </c>
      <c r="K29" s="725">
        <f t="shared" si="12"/>
        <v>0</v>
      </c>
      <c r="L29" s="725">
        <f t="shared" si="13"/>
        <v>0</v>
      </c>
    </row>
    <row r="30" spans="1:12" s="751" customFormat="1" ht="18.75" customHeight="1">
      <c r="A30" s="453" t="str">
        <f t="shared" si="14"/>
        <v>TP</v>
      </c>
      <c r="B30" s="770">
        <f t="shared" si="15"/>
        <v>6</v>
      </c>
      <c r="C30" s="771" t="s">
        <v>895</v>
      </c>
      <c r="D30" s="772" t="s">
        <v>969</v>
      </c>
      <c r="E30" s="725"/>
      <c r="F30" s="725"/>
      <c r="G30" s="744">
        <f t="array" ref="G30">SUM(IF("155"&amp;C30=KHN&amp;MH,SL))</f>
        <v>126</v>
      </c>
      <c r="H30" s="744">
        <f t="array" ref="H30">SUM(IF("155"&amp;C30=KHN&amp;MH,TH))</f>
        <v>86282</v>
      </c>
      <c r="I30" s="744">
        <f t="array" ref="I30">SUM(IF("155"&amp;C30=KHC&amp;MH,SL))</f>
        <v>126</v>
      </c>
      <c r="J30" s="744">
        <f t="array" ref="J30">SUM(IF("155"&amp;C30=KHC&amp;MH,TH))</f>
        <v>86282</v>
      </c>
      <c r="K30" s="725">
        <f t="shared" si="12"/>
        <v>0</v>
      </c>
      <c r="L30" s="725">
        <f t="shared" si="13"/>
        <v>0</v>
      </c>
    </row>
    <row r="31" spans="1:12" s="751" customFormat="1" ht="18.75" customHeight="1">
      <c r="A31" s="453" t="str">
        <f t="shared" si="14"/>
        <v>TP</v>
      </c>
      <c r="B31" s="770">
        <f t="shared" si="15"/>
        <v>7</v>
      </c>
      <c r="C31" s="757" t="s">
        <v>857</v>
      </c>
      <c r="D31" s="772" t="s">
        <v>969</v>
      </c>
      <c r="E31" s="725"/>
      <c r="F31" s="725"/>
      <c r="G31" s="744">
        <f t="array" ref="G31">SUM(IF("155"&amp;C31=KHN&amp;MH,SL))</f>
        <v>100</v>
      </c>
      <c r="H31" s="744">
        <f t="array" ref="H31">SUM(IF("155"&amp;C31=KHN&amp;MH,TH))</f>
        <v>45652</v>
      </c>
      <c r="I31" s="744">
        <f t="array" ref="I31">SUM(IF("155"&amp;C31=KHC&amp;MH,SL))</f>
        <v>100</v>
      </c>
      <c r="J31" s="744">
        <f t="array" ref="J31">SUM(IF("155"&amp;C31=KHC&amp;MH,TH))</f>
        <v>45652</v>
      </c>
      <c r="K31" s="725">
        <f t="shared" si="12"/>
        <v>0</v>
      </c>
      <c r="L31" s="725">
        <f t="shared" si="13"/>
        <v>0</v>
      </c>
    </row>
    <row r="32" spans="1:12" s="751" customFormat="1" ht="18.75" customHeight="1">
      <c r="A32" s="453" t="str">
        <f t="shared" si="14"/>
        <v>TP</v>
      </c>
      <c r="B32" s="770">
        <f t="shared" si="15"/>
        <v>8</v>
      </c>
      <c r="C32" s="771" t="s">
        <v>856</v>
      </c>
      <c r="D32" s="772" t="s">
        <v>969</v>
      </c>
      <c r="E32" s="725"/>
      <c r="F32" s="725"/>
      <c r="G32" s="744">
        <f t="array" ref="G32">SUM(IF("155"&amp;C32=KHN&amp;MH,SL))</f>
        <v>360</v>
      </c>
      <c r="H32" s="744">
        <f t="array" ref="H32">SUM(IF("155"&amp;C32=KHN&amp;MH,TH))</f>
        <v>219129</v>
      </c>
      <c r="I32" s="744">
        <f t="array" ref="I32">SUM(IF("155"&amp;C32=KHC&amp;MH,SL))</f>
        <v>360</v>
      </c>
      <c r="J32" s="744">
        <f t="array" ref="J32">SUM(IF("155"&amp;C32=KHC&amp;MH,TH))</f>
        <v>219129</v>
      </c>
      <c r="K32" s="725">
        <f t="shared" si="12"/>
        <v>0</v>
      </c>
      <c r="L32" s="725">
        <f t="shared" si="13"/>
        <v>0</v>
      </c>
    </row>
    <row r="33" spans="1:12" s="751" customFormat="1" ht="18.75" customHeight="1">
      <c r="A33" s="453" t="str">
        <f t="shared" si="14"/>
        <v>TP</v>
      </c>
      <c r="B33" s="770">
        <f t="shared" si="15"/>
        <v>9</v>
      </c>
      <c r="C33" s="771" t="s">
        <v>855</v>
      </c>
      <c r="D33" s="772" t="s">
        <v>969</v>
      </c>
      <c r="E33" s="725"/>
      <c r="F33" s="725"/>
      <c r="G33" s="744">
        <f t="array" ref="G33">SUM(IF("155"&amp;C33=KHN&amp;MH,SL))</f>
        <v>584</v>
      </c>
      <c r="H33" s="744">
        <f t="array" ref="H33">SUM(IF("155"&amp;C33=KHN&amp;MH,TH))</f>
        <v>399911</v>
      </c>
      <c r="I33" s="744">
        <f t="array" ref="I33">SUM(IF("155"&amp;C33=KHC&amp;MH,SL))</f>
        <v>584</v>
      </c>
      <c r="J33" s="744">
        <f t="array" ref="J33">SUM(IF("155"&amp;C33=KHC&amp;MH,TH))</f>
        <v>399911</v>
      </c>
      <c r="K33" s="725">
        <f t="shared" si="12"/>
        <v>0</v>
      </c>
      <c r="L33" s="725">
        <f t="shared" si="13"/>
        <v>0</v>
      </c>
    </row>
    <row r="34" spans="1:12" s="751" customFormat="1" ht="18.75" customHeight="1">
      <c r="A34" s="453" t="str">
        <f t="shared" si="14"/>
        <v>TP</v>
      </c>
      <c r="B34" s="770">
        <f t="shared" si="15"/>
        <v>10</v>
      </c>
      <c r="C34" s="771" t="s">
        <v>858</v>
      </c>
      <c r="D34" s="772" t="s">
        <v>969</v>
      </c>
      <c r="E34" s="725"/>
      <c r="F34" s="725"/>
      <c r="G34" s="744">
        <f t="array" ref="G34">SUM(IF("155"&amp;C34=KHN&amp;MH,SL))</f>
        <v>1108</v>
      </c>
      <c r="H34" s="744">
        <f t="array" ref="H34">SUM(IF("155"&amp;C34=KHN&amp;MH,TH))</f>
        <v>1095950</v>
      </c>
      <c r="I34" s="744">
        <f t="array" ref="I34">SUM(IF("155"&amp;C34=KHC&amp;MH,SL))</f>
        <v>1108</v>
      </c>
      <c r="J34" s="744">
        <f t="array" ref="J34">SUM(IF("155"&amp;C34=KHC&amp;MH,TH))</f>
        <v>1095950</v>
      </c>
      <c r="K34" s="725">
        <f t="shared" si="12"/>
        <v>0</v>
      </c>
      <c r="L34" s="725">
        <f t="shared" si="13"/>
        <v>0</v>
      </c>
    </row>
    <row r="35" spans="1:12" s="751" customFormat="1" ht="18.75" customHeight="1">
      <c r="A35" s="453" t="str">
        <f t="shared" si="14"/>
        <v>TP</v>
      </c>
      <c r="B35" s="770">
        <f t="shared" si="15"/>
        <v>11</v>
      </c>
      <c r="C35" s="771" t="s">
        <v>375</v>
      </c>
      <c r="D35" s="772" t="s">
        <v>969</v>
      </c>
      <c r="E35" s="725"/>
      <c r="F35" s="725"/>
      <c r="G35" s="744">
        <f t="array" ref="G35">SUM(IF("155"&amp;C35=KHN&amp;MH,SL))</f>
        <v>9016</v>
      </c>
      <c r="H35" s="744">
        <f t="array" ref="H35">SUM(IF("155"&amp;C35=KHN&amp;MH,TH))</f>
        <v>6482475</v>
      </c>
      <c r="I35" s="744">
        <f t="array" ref="I35">SUM(IF("155"&amp;C35=KHC&amp;MH,SL))</f>
        <v>9016</v>
      </c>
      <c r="J35" s="744">
        <f t="array" ref="J35">SUM(IF("155"&amp;C35=KHC&amp;MH,TH))</f>
        <v>6482475</v>
      </c>
      <c r="K35" s="725">
        <f t="shared" si="12"/>
        <v>0</v>
      </c>
      <c r="L35" s="725">
        <f t="shared" si="13"/>
        <v>0</v>
      </c>
    </row>
    <row r="36" spans="1:12" s="751" customFormat="1" ht="18.75" customHeight="1">
      <c r="A36" s="453" t="str">
        <f t="shared" si="14"/>
        <v>TP</v>
      </c>
      <c r="B36" s="770">
        <f t="shared" si="15"/>
        <v>12</v>
      </c>
      <c r="C36" s="773" t="s">
        <v>906</v>
      </c>
      <c r="D36" s="772" t="s">
        <v>969</v>
      </c>
      <c r="E36" s="725"/>
      <c r="F36" s="725"/>
      <c r="G36" s="744">
        <f t="array" ref="G36">SUM(IF("155"&amp;C36=KHN&amp;MH,SL))</f>
        <v>132</v>
      </c>
      <c r="H36" s="744">
        <f t="array" ref="H36">SUM(IF("155"&amp;C36=KHN&amp;MH,TH))</f>
        <v>180782</v>
      </c>
      <c r="I36" s="744">
        <f t="array" ref="I36">SUM(IF("155"&amp;C36=KHC&amp;MH,SL))</f>
        <v>132</v>
      </c>
      <c r="J36" s="744">
        <f t="array" ref="J36">SUM(IF("155"&amp;C36=KHC&amp;MH,TH))</f>
        <v>180782</v>
      </c>
      <c r="K36" s="725">
        <f t="shared" si="12"/>
        <v>0</v>
      </c>
      <c r="L36" s="725">
        <f t="shared" si="13"/>
        <v>0</v>
      </c>
    </row>
    <row r="37" spans="1:12" s="751" customFormat="1" ht="18.75" customHeight="1">
      <c r="A37" s="453" t="str">
        <f t="shared" si="14"/>
        <v>TP</v>
      </c>
      <c r="B37" s="770">
        <f t="shared" si="15"/>
        <v>13</v>
      </c>
      <c r="C37" s="773" t="s">
        <v>533</v>
      </c>
      <c r="D37" s="772" t="s">
        <v>969</v>
      </c>
      <c r="E37" s="725"/>
      <c r="F37" s="725"/>
      <c r="G37" s="744">
        <f t="array" ref="G37">SUM(IF("155"&amp;C37=KHN&amp;MH,SL))</f>
        <v>240</v>
      </c>
      <c r="H37" s="744">
        <f t="array" ref="H37">SUM(IF("155"&amp;C37=KHN&amp;MH,TH))</f>
        <v>375901</v>
      </c>
      <c r="I37" s="744">
        <f t="array" ref="I37">SUM(IF("155"&amp;C37=KHC&amp;MH,SL))</f>
        <v>240</v>
      </c>
      <c r="J37" s="744">
        <f t="array" ref="J37">SUM(IF("155"&amp;C37=KHC&amp;MH,TH))</f>
        <v>375901</v>
      </c>
      <c r="K37" s="725">
        <f t="shared" si="12"/>
        <v>0</v>
      </c>
      <c r="L37" s="725">
        <f t="shared" si="13"/>
        <v>0</v>
      </c>
    </row>
    <row r="38" spans="1:12" s="751" customFormat="1" ht="18.75" customHeight="1">
      <c r="A38" s="453" t="str">
        <f t="shared" si="14"/>
        <v>TP</v>
      </c>
      <c r="B38" s="770">
        <f t="shared" si="15"/>
        <v>14</v>
      </c>
      <c r="C38" s="773" t="s">
        <v>507</v>
      </c>
      <c r="D38" s="772" t="s">
        <v>969</v>
      </c>
      <c r="E38" s="725"/>
      <c r="F38" s="725"/>
      <c r="G38" s="744">
        <f t="array" ref="G38">SUM(IF("155"&amp;C38=KHN&amp;MH,SL))</f>
        <v>850</v>
      </c>
      <c r="H38" s="744">
        <f t="array" ref="H38">SUM(IF("155"&amp;C38=KHN&amp;MH,TH))</f>
        <v>1331559</v>
      </c>
      <c r="I38" s="744">
        <f t="array" ref="I38">SUM(IF("155"&amp;C38=KHC&amp;MH,SL))</f>
        <v>850</v>
      </c>
      <c r="J38" s="744">
        <f t="array" ref="J38">SUM(IF("155"&amp;C38=KHC&amp;MH,TH))</f>
        <v>1331559</v>
      </c>
      <c r="K38" s="725">
        <f t="shared" si="12"/>
        <v>0</v>
      </c>
      <c r="L38" s="725">
        <f t="shared" si="13"/>
        <v>0</v>
      </c>
    </row>
    <row r="39" spans="1:12" s="751" customFormat="1" ht="18.75" customHeight="1">
      <c r="A39" s="453" t="str">
        <f t="shared" si="14"/>
        <v>TP</v>
      </c>
      <c r="B39" s="770">
        <f t="shared" si="15"/>
        <v>15</v>
      </c>
      <c r="C39" s="773" t="s">
        <v>506</v>
      </c>
      <c r="D39" s="772" t="s">
        <v>969</v>
      </c>
      <c r="E39" s="725"/>
      <c r="F39" s="725"/>
      <c r="G39" s="744">
        <f t="array" ref="G39">SUM(IF("155"&amp;C39=KHN&amp;MH,SL))</f>
        <v>500</v>
      </c>
      <c r="H39" s="744">
        <f t="array" ref="H39">SUM(IF("155"&amp;C39=KHN&amp;MH,TH))</f>
        <v>1318951</v>
      </c>
      <c r="I39" s="744">
        <f t="array" ref="I39">SUM(IF("155"&amp;C39=KHC&amp;MH,SL))</f>
        <v>500</v>
      </c>
      <c r="J39" s="744">
        <f t="array" ref="J39">SUM(IF("155"&amp;C39=KHC&amp;MH,TH))</f>
        <v>1318951</v>
      </c>
      <c r="K39" s="725">
        <f t="shared" si="12"/>
        <v>0</v>
      </c>
      <c r="L39" s="725">
        <f t="shared" si="13"/>
        <v>0</v>
      </c>
    </row>
    <row r="40" spans="1:12" s="751" customFormat="1" ht="18.75" customHeight="1">
      <c r="A40" s="453" t="str">
        <f t="shared" si="14"/>
        <v>TP</v>
      </c>
      <c r="B40" s="770">
        <f t="shared" si="15"/>
        <v>16</v>
      </c>
      <c r="C40" s="773" t="s">
        <v>658</v>
      </c>
      <c r="D40" s="772" t="s">
        <v>970</v>
      </c>
      <c r="E40" s="725"/>
      <c r="F40" s="725"/>
      <c r="G40" s="744">
        <f t="array" ref="G40">SUM(IF("155"&amp;C40=KHN&amp;MH,SL))</f>
        <v>650</v>
      </c>
      <c r="H40" s="744">
        <f t="array" ref="H40">SUM(IF("155"&amp;C40=KHN&amp;MH,TH))</f>
        <v>4447340</v>
      </c>
      <c r="I40" s="744">
        <f t="array" ref="I40">SUM(IF("155"&amp;C40=KHC&amp;MH,SL))</f>
        <v>650</v>
      </c>
      <c r="J40" s="744">
        <f t="array" ref="J40">SUM(IF("155"&amp;C40=KHC&amp;MH,TH))</f>
        <v>4447340</v>
      </c>
      <c r="K40" s="725">
        <f t="shared" si="12"/>
        <v>0</v>
      </c>
      <c r="L40" s="725">
        <f t="shared" si="13"/>
        <v>0</v>
      </c>
    </row>
    <row r="41" spans="1:12" s="751" customFormat="1" ht="18.75" customHeight="1">
      <c r="A41" s="453" t="str">
        <f t="shared" si="14"/>
        <v>TP</v>
      </c>
      <c r="B41" s="770">
        <f t="shared" si="15"/>
        <v>17</v>
      </c>
      <c r="C41" s="771" t="s">
        <v>660</v>
      </c>
      <c r="D41" s="772" t="s">
        <v>970</v>
      </c>
      <c r="E41" s="725"/>
      <c r="F41" s="725"/>
      <c r="G41" s="744">
        <f t="array" ref="G41">SUM(IF("155"&amp;C41=KHN&amp;MH,SL))</f>
        <v>352</v>
      </c>
      <c r="H41" s="744">
        <f t="array" ref="H41">SUM(IF("155"&amp;C41=KHN&amp;MH,TH))</f>
        <v>3307930</v>
      </c>
      <c r="I41" s="744">
        <f t="array" ref="I41">SUM(IF("155"&amp;C41=KHC&amp;MH,SL))</f>
        <v>352</v>
      </c>
      <c r="J41" s="744">
        <f t="array" ref="J41">SUM(IF("155"&amp;C41=KHC&amp;MH,TH))</f>
        <v>3307930</v>
      </c>
      <c r="K41" s="725">
        <f t="shared" si="12"/>
        <v>0</v>
      </c>
      <c r="L41" s="725">
        <f t="shared" si="13"/>
        <v>0</v>
      </c>
    </row>
    <row r="42" spans="1:12" s="751" customFormat="1" ht="18.75" customHeight="1">
      <c r="A42" s="453" t="str">
        <f t="shared" si="14"/>
        <v>TP</v>
      </c>
      <c r="B42" s="770">
        <f t="shared" si="15"/>
        <v>18</v>
      </c>
      <c r="C42" s="771" t="s">
        <v>656</v>
      </c>
      <c r="D42" s="772" t="s">
        <v>970</v>
      </c>
      <c r="E42" s="725"/>
      <c r="F42" s="725"/>
      <c r="G42" s="744">
        <f t="array" ref="G42">SUM(IF("155"&amp;C42=KHN&amp;MH,SL))</f>
        <v>35</v>
      </c>
      <c r="H42" s="744">
        <f t="array" ref="H42">SUM(IF("155"&amp;C42=KHN&amp;MH,TH))</f>
        <v>372192</v>
      </c>
      <c r="I42" s="744">
        <f t="array" ref="I42">SUM(IF("155"&amp;C42=KHC&amp;MH,SL))</f>
        <v>35</v>
      </c>
      <c r="J42" s="744">
        <f t="array" ref="J42">SUM(IF("155"&amp;C42=KHC&amp;MH,TH))</f>
        <v>372192</v>
      </c>
      <c r="K42" s="725">
        <f t="shared" si="12"/>
        <v>0</v>
      </c>
      <c r="L42" s="725">
        <f t="shared" si="13"/>
        <v>0</v>
      </c>
    </row>
    <row r="43" spans="1:12" s="751" customFormat="1" ht="18.75" customHeight="1">
      <c r="A43" s="453" t="str">
        <f t="shared" si="14"/>
        <v>TP</v>
      </c>
      <c r="B43" s="770">
        <f t="shared" si="15"/>
        <v>19</v>
      </c>
      <c r="C43" s="771" t="s">
        <v>657</v>
      </c>
      <c r="D43" s="772" t="s">
        <v>970</v>
      </c>
      <c r="E43" s="725"/>
      <c r="F43" s="725"/>
      <c r="G43" s="744">
        <f t="array" ref="G43">SUM(IF("155"&amp;C43=KHN&amp;MH,SL))</f>
        <v>90</v>
      </c>
      <c r="H43" s="744">
        <f t="array" ref="H43">SUM(IF("155"&amp;C43=KHN&amp;MH,TH))</f>
        <v>786425</v>
      </c>
      <c r="I43" s="744">
        <f t="array" ref="I43">SUM(IF("155"&amp;C43=KHC&amp;MH,SL))</f>
        <v>90</v>
      </c>
      <c r="J43" s="744">
        <f t="array" ref="J43">SUM(IF("155"&amp;C43=KHC&amp;MH,TH))</f>
        <v>786425</v>
      </c>
      <c r="K43" s="725">
        <f t="shared" si="12"/>
        <v>0</v>
      </c>
      <c r="L43" s="725">
        <f t="shared" si="13"/>
        <v>0</v>
      </c>
    </row>
    <row r="44" spans="1:12" s="751" customFormat="1" ht="18.75" customHeight="1">
      <c r="A44" s="453" t="str">
        <f t="shared" si="14"/>
        <v>TP</v>
      </c>
      <c r="B44" s="770">
        <f t="shared" si="15"/>
        <v>20</v>
      </c>
      <c r="C44" s="773" t="s">
        <v>655</v>
      </c>
      <c r="D44" s="772" t="s">
        <v>970</v>
      </c>
      <c r="E44" s="725"/>
      <c r="F44" s="725"/>
      <c r="G44" s="744">
        <f t="array" ref="G44">SUM(IF("155"&amp;C44=KHN&amp;MH,SL))</f>
        <v>1410</v>
      </c>
      <c r="H44" s="744">
        <f t="array" ref="H44">SUM(IF("155"&amp;C44=KHN&amp;MH,TH))</f>
        <v>14761540</v>
      </c>
      <c r="I44" s="744">
        <f t="array" ref="I44">SUM(IF("155"&amp;C44=KHC&amp;MH,SL))</f>
        <v>1410</v>
      </c>
      <c r="J44" s="744">
        <f t="array" ref="J44">SUM(IF("155"&amp;C44=KHC&amp;MH,TH))</f>
        <v>14761540</v>
      </c>
      <c r="K44" s="725">
        <f t="shared" si="12"/>
        <v>0</v>
      </c>
      <c r="L44" s="725">
        <f t="shared" si="13"/>
        <v>0</v>
      </c>
    </row>
    <row r="45" spans="1:12" s="751" customFormat="1" ht="18.75" customHeight="1">
      <c r="A45" s="453" t="str">
        <f t="shared" si="14"/>
        <v>TP</v>
      </c>
      <c r="B45" s="770">
        <f t="shared" si="15"/>
        <v>21</v>
      </c>
      <c r="C45" s="771" t="s">
        <v>659</v>
      </c>
      <c r="D45" s="772" t="s">
        <v>970</v>
      </c>
      <c r="E45" s="725"/>
      <c r="F45" s="725"/>
      <c r="G45" s="744">
        <f t="array" ref="G45">SUM(IF("155"&amp;C45=KHN&amp;MH,SL))</f>
        <v>210</v>
      </c>
      <c r="H45" s="744">
        <f t="array" ref="H45">SUM(IF("155"&amp;C45=KHN&amp;MH,TH))</f>
        <v>2285083</v>
      </c>
      <c r="I45" s="744">
        <f t="array" ref="I45">SUM(IF("155"&amp;C45=KHC&amp;MH,SL))</f>
        <v>210</v>
      </c>
      <c r="J45" s="744">
        <f t="array" ref="J45">SUM(IF("155"&amp;C45=KHC&amp;MH,TH))</f>
        <v>2285083</v>
      </c>
      <c r="K45" s="725">
        <f t="shared" si="12"/>
        <v>0</v>
      </c>
      <c r="L45" s="725">
        <f t="shared" si="13"/>
        <v>0</v>
      </c>
    </row>
    <row r="46" spans="1:12" s="751" customFormat="1" ht="18.75" customHeight="1">
      <c r="A46" s="453" t="str">
        <f t="shared" si="14"/>
        <v>TP</v>
      </c>
      <c r="B46" s="770">
        <f t="shared" si="15"/>
        <v>22</v>
      </c>
      <c r="C46" s="771" t="s">
        <v>654</v>
      </c>
      <c r="D46" s="772" t="s">
        <v>970</v>
      </c>
      <c r="E46" s="725"/>
      <c r="F46" s="725"/>
      <c r="G46" s="744">
        <f t="array" ref="G46">SUM(IF("155"&amp;C46=KHN&amp;MH,SL))</f>
        <v>630</v>
      </c>
      <c r="H46" s="744">
        <f t="array" ref="H46">SUM(IF("155"&amp;C46=KHN&amp;MH,TH))</f>
        <v>7011051</v>
      </c>
      <c r="I46" s="744">
        <f t="array" ref="I46">SUM(IF("155"&amp;C46=KHC&amp;MH,SL))</f>
        <v>630</v>
      </c>
      <c r="J46" s="744">
        <f t="array" ref="J46">SUM(IF("155"&amp;C46=KHC&amp;MH,TH))</f>
        <v>7011051</v>
      </c>
      <c r="K46" s="725">
        <f t="shared" si="12"/>
        <v>0</v>
      </c>
      <c r="L46" s="725">
        <f t="shared" si="13"/>
        <v>0</v>
      </c>
    </row>
    <row r="47" spans="1:12" s="751" customFormat="1" ht="18.75" customHeight="1">
      <c r="A47" s="453" t="str">
        <f t="shared" si="14"/>
        <v>TP</v>
      </c>
      <c r="B47" s="770">
        <f t="shared" si="15"/>
        <v>23</v>
      </c>
      <c r="C47" s="771" t="s">
        <v>527</v>
      </c>
      <c r="D47" s="772" t="s">
        <v>970</v>
      </c>
      <c r="E47" s="725"/>
      <c r="F47" s="725"/>
      <c r="G47" s="744">
        <f t="array" ref="G47">SUM(IF("155"&amp;C47=KHN&amp;MH,SL))</f>
        <v>698</v>
      </c>
      <c r="H47" s="744">
        <f t="array" ref="H47">SUM(IF("155"&amp;C47=KHN&amp;MH,TH))</f>
        <v>40114378</v>
      </c>
      <c r="I47" s="744">
        <f t="array" ref="I47">SUM(IF("155"&amp;C47=KHC&amp;MH,SL))</f>
        <v>698</v>
      </c>
      <c r="J47" s="744">
        <f t="array" ref="J47">SUM(IF("155"&amp;C47=KHC&amp;MH,TH))</f>
        <v>40114378</v>
      </c>
      <c r="K47" s="725">
        <f t="shared" si="12"/>
        <v>0</v>
      </c>
      <c r="L47" s="725">
        <f t="shared" si="13"/>
        <v>0</v>
      </c>
    </row>
    <row r="48" spans="1:12" s="751" customFormat="1" ht="18.75" customHeight="1">
      <c r="A48" s="453" t="str">
        <f t="shared" si="14"/>
        <v>TP</v>
      </c>
      <c r="B48" s="770">
        <f t="shared" si="15"/>
        <v>24</v>
      </c>
      <c r="C48" s="771" t="s">
        <v>496</v>
      </c>
      <c r="D48" s="772" t="s">
        <v>970</v>
      </c>
      <c r="E48" s="725"/>
      <c r="F48" s="725"/>
      <c r="G48" s="744">
        <f t="array" ref="G48">SUM(IF("155"&amp;C48=KHN&amp;MH,SL))</f>
        <v>235</v>
      </c>
      <c r="H48" s="744">
        <f t="array" ref="H48">SUM(IF("155"&amp;C48=KHN&amp;MH,TH))</f>
        <v>10899185</v>
      </c>
      <c r="I48" s="744">
        <f t="array" ref="I48">SUM(IF("155"&amp;C48=KHC&amp;MH,SL))</f>
        <v>235</v>
      </c>
      <c r="J48" s="744">
        <f t="array" ref="J48">SUM(IF("155"&amp;C48=KHC&amp;MH,TH))</f>
        <v>10899185</v>
      </c>
      <c r="K48" s="725">
        <f t="shared" si="12"/>
        <v>0</v>
      </c>
      <c r="L48" s="725">
        <f t="shared" si="13"/>
        <v>0</v>
      </c>
    </row>
    <row r="49" spans="1:12" s="751" customFormat="1" ht="18.75" customHeight="1">
      <c r="A49" s="453" t="str">
        <f t="shared" si="14"/>
        <v>TP</v>
      </c>
      <c r="B49" s="770">
        <f t="shared" si="15"/>
        <v>25</v>
      </c>
      <c r="C49" s="771" t="s">
        <v>495</v>
      </c>
      <c r="D49" s="772" t="s">
        <v>970</v>
      </c>
      <c r="E49" s="725"/>
      <c r="F49" s="725"/>
      <c r="G49" s="744">
        <f t="array" ref="G49">SUM(IF("155"&amp;C49=KHN&amp;MH,SL))</f>
        <v>100</v>
      </c>
      <c r="H49" s="744">
        <f t="array" ref="H49">SUM(IF("155"&amp;C49=KHN&amp;MH,TH))</f>
        <v>3231431</v>
      </c>
      <c r="I49" s="744">
        <f t="array" ref="I49">SUM(IF("155"&amp;C49=KHC&amp;MH,SL))</f>
        <v>100</v>
      </c>
      <c r="J49" s="744">
        <f t="array" ref="J49">SUM(IF("155"&amp;C49=KHC&amp;MH,TH))</f>
        <v>3231431</v>
      </c>
      <c r="K49" s="725">
        <f t="shared" si="12"/>
        <v>0</v>
      </c>
      <c r="L49" s="725">
        <f t="shared" si="13"/>
        <v>0</v>
      </c>
    </row>
    <row r="50" spans="1:12" s="751" customFormat="1" ht="18.75" customHeight="1">
      <c r="A50" s="453" t="str">
        <f t="shared" si="14"/>
        <v>TP</v>
      </c>
      <c r="B50" s="770">
        <f t="shared" si="15"/>
        <v>26</v>
      </c>
      <c r="C50" s="771" t="s">
        <v>664</v>
      </c>
      <c r="D50" s="772" t="s">
        <v>970</v>
      </c>
      <c r="E50" s="725"/>
      <c r="F50" s="725"/>
      <c r="G50" s="744">
        <f t="array" ref="G50">SUM(IF("155"&amp;C50=KHN&amp;MH,SL))</f>
        <v>42</v>
      </c>
      <c r="H50" s="744">
        <f t="array" ref="H50">SUM(IF("155"&amp;C50=KHN&amp;MH,TH))</f>
        <v>2810914</v>
      </c>
      <c r="I50" s="744">
        <f t="array" ref="I50">SUM(IF("155"&amp;C50=KHC&amp;MH,SL))</f>
        <v>42</v>
      </c>
      <c r="J50" s="744">
        <f t="array" ref="J50">SUM(IF("155"&amp;C50=KHC&amp;MH,TH))</f>
        <v>2810914</v>
      </c>
      <c r="K50" s="725">
        <f t="shared" si="12"/>
        <v>0</v>
      </c>
      <c r="L50" s="725">
        <f t="shared" si="13"/>
        <v>0</v>
      </c>
    </row>
    <row r="51" spans="1:12" s="751" customFormat="1" ht="18.75" customHeight="1">
      <c r="A51" s="453" t="str">
        <f t="shared" si="14"/>
        <v>TP</v>
      </c>
      <c r="B51" s="770">
        <f t="shared" si="15"/>
        <v>27</v>
      </c>
      <c r="C51" s="771" t="s">
        <v>692</v>
      </c>
      <c r="D51" s="772" t="s">
        <v>970</v>
      </c>
      <c r="E51" s="725"/>
      <c r="F51" s="725"/>
      <c r="G51" s="744">
        <f t="array" ref="G51">SUM(IF("155"&amp;C51=KHN&amp;MH,SL))</f>
        <v>5</v>
      </c>
      <c r="H51" s="744">
        <f t="array" ref="H51">SUM(IF("155"&amp;C51=KHN&amp;MH,TH))</f>
        <v>292553</v>
      </c>
      <c r="I51" s="744">
        <f t="array" ref="I51">SUM(IF("155"&amp;C51=KHC&amp;MH,SL))</f>
        <v>5</v>
      </c>
      <c r="J51" s="744">
        <f t="array" ref="J51">SUM(IF("155"&amp;C51=KHC&amp;MH,TH))</f>
        <v>292553</v>
      </c>
      <c r="K51" s="725">
        <f t="shared" si="12"/>
        <v>0</v>
      </c>
      <c r="L51" s="725">
        <f t="shared" si="13"/>
        <v>0</v>
      </c>
    </row>
    <row r="52" spans="1:12" s="751" customFormat="1" ht="18.75" customHeight="1">
      <c r="A52" s="453" t="str">
        <f t="shared" si="14"/>
        <v>TP</v>
      </c>
      <c r="B52" s="770">
        <f t="shared" si="15"/>
        <v>28</v>
      </c>
      <c r="C52" s="771" t="s">
        <v>691</v>
      </c>
      <c r="D52" s="772" t="s">
        <v>970</v>
      </c>
      <c r="E52" s="725"/>
      <c r="F52" s="725"/>
      <c r="G52" s="744">
        <f t="array" ref="G52">SUM(IF("155"&amp;C52=KHN&amp;MH,SL))</f>
        <v>25</v>
      </c>
      <c r="H52" s="744">
        <f t="array" ref="H52">SUM(IF("155"&amp;C52=KHN&amp;MH,TH))</f>
        <v>1807055</v>
      </c>
      <c r="I52" s="744">
        <f t="array" ref="I52">SUM(IF("155"&amp;C52=KHC&amp;MH,SL))</f>
        <v>25</v>
      </c>
      <c r="J52" s="744">
        <f t="array" ref="J52">SUM(IF("155"&amp;C52=KHC&amp;MH,TH))</f>
        <v>1807055</v>
      </c>
      <c r="K52" s="725">
        <f t="shared" si="12"/>
        <v>0</v>
      </c>
      <c r="L52" s="725">
        <f t="shared" si="13"/>
        <v>0</v>
      </c>
    </row>
    <row r="53" spans="1:12" s="751" customFormat="1" ht="18.75" customHeight="1">
      <c r="A53" s="453" t="str">
        <f t="shared" si="14"/>
        <v>TP</v>
      </c>
      <c r="B53" s="770">
        <f t="shared" si="15"/>
        <v>29</v>
      </c>
      <c r="C53" s="771" t="s">
        <v>693</v>
      </c>
      <c r="D53" s="772" t="s">
        <v>970</v>
      </c>
      <c r="E53" s="725"/>
      <c r="F53" s="725"/>
      <c r="G53" s="744">
        <f t="array" ref="G53">SUM(IF("155"&amp;C53=KHN&amp;MH,SL))</f>
        <v>100</v>
      </c>
      <c r="H53" s="744">
        <f t="array" ref="H53">SUM(IF("155"&amp;C53=KHN&amp;MH,TH))</f>
        <v>4382584</v>
      </c>
      <c r="I53" s="744">
        <f t="array" ref="I53">SUM(IF("155"&amp;C53=KHC&amp;MH,SL))</f>
        <v>100</v>
      </c>
      <c r="J53" s="744">
        <f t="array" ref="J53">SUM(IF("155"&amp;C53=KHC&amp;MH,TH))</f>
        <v>4382584</v>
      </c>
      <c r="K53" s="725">
        <f t="shared" si="12"/>
        <v>0</v>
      </c>
      <c r="L53" s="725">
        <f t="shared" si="13"/>
        <v>0</v>
      </c>
    </row>
    <row r="54" spans="1:12" s="751" customFormat="1" ht="18.75" customHeight="1">
      <c r="A54" s="453" t="str">
        <f t="shared" si="14"/>
        <v>TP</v>
      </c>
      <c r="B54" s="770">
        <f t="shared" si="15"/>
        <v>30</v>
      </c>
      <c r="C54" s="771" t="s">
        <v>694</v>
      </c>
      <c r="D54" s="772" t="s">
        <v>970</v>
      </c>
      <c r="E54" s="725"/>
      <c r="F54" s="725"/>
      <c r="G54" s="744">
        <f t="array" ref="G54">SUM(IF("155"&amp;C54=KHN&amp;MH,SL))</f>
        <v>12</v>
      </c>
      <c r="H54" s="744">
        <f t="array" ref="H54">SUM(IF("155"&amp;C54=KHN&amp;MH,TH))</f>
        <v>1022603</v>
      </c>
      <c r="I54" s="744">
        <f t="array" ref="I54">SUM(IF("155"&amp;C54=KHC&amp;MH,SL))</f>
        <v>12</v>
      </c>
      <c r="J54" s="744">
        <f t="array" ref="J54">SUM(IF("155"&amp;C54=KHC&amp;MH,TH))</f>
        <v>1022603</v>
      </c>
      <c r="K54" s="725">
        <f t="shared" si="12"/>
        <v>0</v>
      </c>
      <c r="L54" s="725">
        <f t="shared" si="13"/>
        <v>0</v>
      </c>
    </row>
    <row r="55" spans="1:12" s="751" customFormat="1" ht="18.75" customHeight="1">
      <c r="A55" s="453" t="str">
        <f t="shared" si="14"/>
        <v>TP</v>
      </c>
      <c r="B55" s="770">
        <f t="shared" si="15"/>
        <v>31</v>
      </c>
      <c r="C55" s="771" t="s">
        <v>832</v>
      </c>
      <c r="D55" s="772" t="s">
        <v>970</v>
      </c>
      <c r="E55" s="725"/>
      <c r="F55" s="725"/>
      <c r="G55" s="744">
        <f t="array" ref="G55">SUM(IF("155"&amp;C55=KHN&amp;MH,SL))</f>
        <v>4000</v>
      </c>
      <c r="H55" s="744">
        <f t="array" ref="H55">SUM(IF("155"&amp;C55=KHN&amp;MH,TH))</f>
        <v>6999961</v>
      </c>
      <c r="I55" s="744">
        <f t="array" ref="I55">SUM(IF("155"&amp;C55=KHC&amp;MH,SL))</f>
        <v>4000</v>
      </c>
      <c r="J55" s="744">
        <f t="array" ref="J55">SUM(IF("155"&amp;C55=KHC&amp;MH,TH))</f>
        <v>6999961</v>
      </c>
      <c r="K55" s="725">
        <f t="shared" si="12"/>
        <v>0</v>
      </c>
      <c r="L55" s="725">
        <f t="shared" si="13"/>
        <v>0</v>
      </c>
    </row>
    <row r="56" spans="1:12" s="751" customFormat="1" ht="18" customHeight="1">
      <c r="A56" s="453" t="str">
        <f t="shared" si="14"/>
        <v>TP</v>
      </c>
      <c r="B56" s="770">
        <f t="shared" si="15"/>
        <v>32</v>
      </c>
      <c r="C56" s="771" t="s">
        <v>519</v>
      </c>
      <c r="D56" s="772" t="s">
        <v>970</v>
      </c>
      <c r="E56" s="725"/>
      <c r="F56" s="725"/>
      <c r="G56" s="744">
        <f t="array" ref="G56">SUM(IF("155"&amp;C56=KHN&amp;MH,SL))</f>
        <v>302</v>
      </c>
      <c r="H56" s="744">
        <f t="array" ref="H56">SUM(IF("155"&amp;C56=KHN&amp;MH,TH))</f>
        <v>1842245</v>
      </c>
      <c r="I56" s="744">
        <f t="array" ref="I56">SUM(IF("155"&amp;C56=KHC&amp;MH,SL))</f>
        <v>302</v>
      </c>
      <c r="J56" s="744">
        <f t="array" ref="J56">SUM(IF("155"&amp;C56=KHC&amp;MH,TH))</f>
        <v>1842245</v>
      </c>
      <c r="K56" s="725">
        <f t="shared" si="12"/>
        <v>0</v>
      </c>
      <c r="L56" s="725">
        <f t="shared" si="13"/>
        <v>0</v>
      </c>
    </row>
    <row r="57" spans="1:12" s="751" customFormat="1" ht="18" customHeight="1">
      <c r="A57" s="453" t="str">
        <f t="shared" si="14"/>
        <v>TP</v>
      </c>
      <c r="B57" s="770">
        <f t="shared" si="15"/>
        <v>33</v>
      </c>
      <c r="C57" s="757" t="s">
        <v>541</v>
      </c>
      <c r="D57" s="772" t="s">
        <v>970</v>
      </c>
      <c r="E57" s="725"/>
      <c r="F57" s="725"/>
      <c r="G57" s="744">
        <f t="array" ref="G57">SUM(IF("155"&amp;C57=KHN&amp;MH,SL))</f>
        <v>1027</v>
      </c>
      <c r="H57" s="744">
        <f t="array" ref="H57">SUM(IF("155"&amp;C57=KHN&amp;MH,TH))</f>
        <v>4740971</v>
      </c>
      <c r="I57" s="744">
        <f t="array" ref="I57">SUM(IF("155"&amp;C57=KHC&amp;MH,SL))</f>
        <v>1027</v>
      </c>
      <c r="J57" s="744">
        <f t="array" ref="J57">SUM(IF("155"&amp;C57=KHC&amp;MH,TH))</f>
        <v>4740971</v>
      </c>
      <c r="K57" s="725">
        <f t="shared" ref="K57:K88" si="16">E57+G57-I57</f>
        <v>0</v>
      </c>
      <c r="L57" s="725">
        <f t="shared" ref="L57:L88" si="17">F57+H57-J57</f>
        <v>0</v>
      </c>
    </row>
    <row r="58" spans="1:12" s="751" customFormat="1" ht="18.75" customHeight="1">
      <c r="A58" s="453" t="str">
        <f t="shared" si="14"/>
        <v>TP</v>
      </c>
      <c r="B58" s="770">
        <f t="shared" si="15"/>
        <v>34</v>
      </c>
      <c r="C58" s="773" t="s">
        <v>650</v>
      </c>
      <c r="D58" s="772" t="s">
        <v>970</v>
      </c>
      <c r="E58" s="725"/>
      <c r="F58" s="725"/>
      <c r="G58" s="744">
        <f t="array" ref="G58">SUM(IF("155"&amp;C58=KHN&amp;MH,SL))</f>
        <v>110</v>
      </c>
      <c r="H58" s="744">
        <f t="array" ref="H58">SUM(IF("155"&amp;C58=KHN&amp;MH,TH))</f>
        <v>770762</v>
      </c>
      <c r="I58" s="744">
        <f t="array" ref="I58">SUM(IF("155"&amp;C58=KHC&amp;MH,SL))</f>
        <v>110</v>
      </c>
      <c r="J58" s="744">
        <f t="array" ref="J58">SUM(IF("155"&amp;C58=KHC&amp;MH,TH))</f>
        <v>770762</v>
      </c>
      <c r="K58" s="725">
        <f t="shared" si="16"/>
        <v>0</v>
      </c>
      <c r="L58" s="725">
        <f t="shared" si="17"/>
        <v>0</v>
      </c>
    </row>
    <row r="59" spans="1:12" s="751" customFormat="1" ht="18.75" customHeight="1">
      <c r="A59" s="453" t="str">
        <f t="shared" si="14"/>
        <v>TP</v>
      </c>
      <c r="B59" s="770">
        <f t="shared" si="15"/>
        <v>35</v>
      </c>
      <c r="C59" s="773" t="s">
        <v>807</v>
      </c>
      <c r="D59" s="772" t="s">
        <v>970</v>
      </c>
      <c r="E59" s="725"/>
      <c r="F59" s="725"/>
      <c r="G59" s="744">
        <f t="array" ref="G59">SUM(IF("155"&amp;C59=KHN&amp;MH,SL))</f>
        <v>205</v>
      </c>
      <c r="H59" s="744">
        <f t="array" ref="H59">SUM(IF("155"&amp;C59=KHN&amp;MH,TH))</f>
        <v>483530</v>
      </c>
      <c r="I59" s="744">
        <f t="array" ref="I59">SUM(IF("155"&amp;C59=KHC&amp;MH,SL))</f>
        <v>205</v>
      </c>
      <c r="J59" s="744">
        <f t="array" ref="J59">SUM(IF("155"&amp;C59=KHC&amp;MH,TH))</f>
        <v>483530</v>
      </c>
      <c r="K59" s="725">
        <f t="shared" si="16"/>
        <v>0</v>
      </c>
      <c r="L59" s="725">
        <f t="shared" si="17"/>
        <v>0</v>
      </c>
    </row>
    <row r="60" spans="1:12" s="751" customFormat="1" ht="18.75" customHeight="1">
      <c r="A60" s="453" t="str">
        <f t="shared" si="14"/>
        <v>TP</v>
      </c>
      <c r="B60" s="770">
        <f t="shared" si="15"/>
        <v>36</v>
      </c>
      <c r="C60" s="773" t="s">
        <v>539</v>
      </c>
      <c r="D60" s="772" t="s">
        <v>970</v>
      </c>
      <c r="E60" s="725"/>
      <c r="F60" s="725"/>
      <c r="G60" s="744">
        <f t="array" ref="G60">SUM(IF("155"&amp;C60=KHN&amp;MH,SL))</f>
        <v>2660</v>
      </c>
      <c r="H60" s="744">
        <f t="array" ref="H60">SUM(IF("155"&amp;C60=KHN&amp;MH,TH))</f>
        <v>14252919</v>
      </c>
      <c r="I60" s="744">
        <f t="array" ref="I60">SUM(IF("155"&amp;C60=KHC&amp;MH,SL))</f>
        <v>2660</v>
      </c>
      <c r="J60" s="744">
        <f t="array" ref="J60">SUM(IF("155"&amp;C60=KHC&amp;MH,TH))</f>
        <v>14252919</v>
      </c>
      <c r="K60" s="725">
        <f t="shared" si="16"/>
        <v>0</v>
      </c>
      <c r="L60" s="725">
        <f t="shared" si="17"/>
        <v>0</v>
      </c>
    </row>
    <row r="61" spans="1:12" s="751" customFormat="1" ht="18.75" customHeight="1">
      <c r="A61" s="453" t="str">
        <f t="shared" si="14"/>
        <v>TP</v>
      </c>
      <c r="B61" s="770">
        <f t="shared" si="15"/>
        <v>37</v>
      </c>
      <c r="C61" s="771" t="s">
        <v>806</v>
      </c>
      <c r="D61" s="772" t="s">
        <v>970</v>
      </c>
      <c r="E61" s="725"/>
      <c r="F61" s="725"/>
      <c r="G61" s="744">
        <f t="array" ref="G61">SUM(IF("155"&amp;C61=KHN&amp;MH,SL))</f>
        <v>55</v>
      </c>
      <c r="H61" s="744">
        <f t="array" ref="H61">SUM(IF("155"&amp;C61=KHN&amp;MH,TH))</f>
        <v>376628</v>
      </c>
      <c r="I61" s="744">
        <f t="array" ref="I61">SUM(IF("155"&amp;C61=KHC&amp;MH,SL))</f>
        <v>55</v>
      </c>
      <c r="J61" s="744">
        <f t="array" ref="J61">SUM(IF("155"&amp;C61=KHC&amp;MH,TH))</f>
        <v>376628</v>
      </c>
      <c r="K61" s="725">
        <f t="shared" si="16"/>
        <v>0</v>
      </c>
      <c r="L61" s="725">
        <f t="shared" si="17"/>
        <v>0</v>
      </c>
    </row>
    <row r="62" spans="1:12" s="751" customFormat="1" ht="18.75" customHeight="1">
      <c r="A62" s="453" t="str">
        <f t="shared" si="14"/>
        <v>TP</v>
      </c>
      <c r="B62" s="770">
        <f t="shared" si="15"/>
        <v>38</v>
      </c>
      <c r="C62" s="771" t="s">
        <v>663</v>
      </c>
      <c r="D62" s="772" t="s">
        <v>970</v>
      </c>
      <c r="E62" s="725"/>
      <c r="F62" s="725"/>
      <c r="G62" s="744">
        <f t="array" ref="G62">SUM(IF("155"&amp;C62=KHN&amp;MH,SL))</f>
        <v>200</v>
      </c>
      <c r="H62" s="744">
        <f t="array" ref="H62">SUM(IF("155"&amp;C62=KHN&amp;MH,TH))</f>
        <v>1417873</v>
      </c>
      <c r="I62" s="744">
        <f t="array" ref="I62">SUM(IF("155"&amp;C62=KHC&amp;MH,SL))</f>
        <v>200</v>
      </c>
      <c r="J62" s="744">
        <f t="array" ref="J62">SUM(IF("155"&amp;C62=KHC&amp;MH,TH))</f>
        <v>1417873</v>
      </c>
      <c r="K62" s="725">
        <f t="shared" si="16"/>
        <v>0</v>
      </c>
      <c r="L62" s="725">
        <f t="shared" si="17"/>
        <v>0</v>
      </c>
    </row>
    <row r="63" spans="1:12" s="751" customFormat="1" ht="18.75" customHeight="1">
      <c r="A63" s="453" t="str">
        <f t="shared" si="14"/>
        <v>TP</v>
      </c>
      <c r="B63" s="770">
        <f t="shared" si="15"/>
        <v>39</v>
      </c>
      <c r="C63" s="757" t="s">
        <v>522</v>
      </c>
      <c r="D63" s="772" t="s">
        <v>970</v>
      </c>
      <c r="E63" s="725"/>
      <c r="F63" s="725"/>
      <c r="G63" s="744">
        <f t="array" ref="G63">SUM(IF("155"&amp;C63=KHN&amp;MH,SL))</f>
        <v>1015</v>
      </c>
      <c r="H63" s="744">
        <f t="array" ref="H63">SUM(IF("155"&amp;C63=KHN&amp;MH,TH))</f>
        <v>5864697</v>
      </c>
      <c r="I63" s="744">
        <f t="array" ref="I63">SUM(IF("155"&amp;C63=KHC&amp;MH,SL))</f>
        <v>1015</v>
      </c>
      <c r="J63" s="744">
        <f t="array" ref="J63">SUM(IF("155"&amp;C63=KHC&amp;MH,TH))</f>
        <v>5864697</v>
      </c>
      <c r="K63" s="725">
        <f t="shared" si="16"/>
        <v>0</v>
      </c>
      <c r="L63" s="725">
        <f t="shared" si="17"/>
        <v>0</v>
      </c>
    </row>
    <row r="64" spans="1:12" s="751" customFormat="1" ht="18.75" customHeight="1">
      <c r="A64" s="453" t="str">
        <f t="shared" si="14"/>
        <v>TP</v>
      </c>
      <c r="B64" s="770">
        <f t="shared" si="15"/>
        <v>40</v>
      </c>
      <c r="C64" s="773" t="s">
        <v>846</v>
      </c>
      <c r="D64" s="772" t="s">
        <v>970</v>
      </c>
      <c r="E64" s="725"/>
      <c r="F64" s="725"/>
      <c r="G64" s="744">
        <f t="array" ref="G64">SUM(IF("155"&amp;C64=KHN&amp;MH,SL))</f>
        <v>205</v>
      </c>
      <c r="H64" s="744">
        <f t="array" ref="H64">SUM(IF("155"&amp;C64=KHN&amp;MH,TH))</f>
        <v>1060646</v>
      </c>
      <c r="I64" s="744">
        <f t="array" ref="I64">SUM(IF("155"&amp;C64=KHC&amp;MH,SL))</f>
        <v>205</v>
      </c>
      <c r="J64" s="744">
        <f t="array" ref="J64">SUM(IF("155"&amp;C64=KHC&amp;MH,TH))</f>
        <v>1060646</v>
      </c>
      <c r="K64" s="725">
        <f t="shared" si="16"/>
        <v>0</v>
      </c>
      <c r="L64" s="725">
        <f t="shared" si="17"/>
        <v>0</v>
      </c>
    </row>
    <row r="65" spans="1:12" s="751" customFormat="1" ht="18.75" customHeight="1">
      <c r="A65" s="453" t="str">
        <f t="shared" si="14"/>
        <v>TP</v>
      </c>
      <c r="B65" s="770">
        <f t="shared" si="15"/>
        <v>41</v>
      </c>
      <c r="C65" s="771" t="s">
        <v>649</v>
      </c>
      <c r="D65" s="772" t="s">
        <v>970</v>
      </c>
      <c r="E65" s="725"/>
      <c r="F65" s="725"/>
      <c r="G65" s="744">
        <f t="array" ref="G65">SUM(IF("155"&amp;C65=KHN&amp;MH,SL))</f>
        <v>412</v>
      </c>
      <c r="H65" s="744">
        <f t="array" ref="H65">SUM(IF("155"&amp;C65=KHN&amp;MH,TH))</f>
        <v>3532152</v>
      </c>
      <c r="I65" s="744">
        <f t="array" ref="I65">SUM(IF("155"&amp;C65=KHC&amp;MH,SL))</f>
        <v>412</v>
      </c>
      <c r="J65" s="744">
        <f t="array" ref="J65">SUM(IF("155"&amp;C65=KHC&amp;MH,TH))</f>
        <v>3532152</v>
      </c>
      <c r="K65" s="725">
        <f t="shared" si="16"/>
        <v>0</v>
      </c>
      <c r="L65" s="725">
        <f t="shared" si="17"/>
        <v>0</v>
      </c>
    </row>
    <row r="66" spans="1:12" s="751" customFormat="1" ht="18.75" customHeight="1">
      <c r="A66" s="453" t="str">
        <f t="shared" si="14"/>
        <v>TP</v>
      </c>
      <c r="B66" s="770">
        <f t="shared" si="15"/>
        <v>42</v>
      </c>
      <c r="C66" s="771" t="s">
        <v>502</v>
      </c>
      <c r="D66" s="772" t="s">
        <v>970</v>
      </c>
      <c r="E66" s="725"/>
      <c r="F66" s="725"/>
      <c r="G66" s="744">
        <f t="array" ref="G66">SUM(IF("155"&amp;C66=KHN&amp;MH,SL))</f>
        <v>254</v>
      </c>
      <c r="H66" s="744">
        <f t="array" ref="H66">SUM(IF("155"&amp;C66=KHN&amp;MH,TH))</f>
        <v>2554479</v>
      </c>
      <c r="I66" s="744">
        <f t="array" ref="I66">SUM(IF("155"&amp;C66=KHC&amp;MH,SL))</f>
        <v>254</v>
      </c>
      <c r="J66" s="744">
        <f t="array" ref="J66">SUM(IF("155"&amp;C66=KHC&amp;MH,TH))</f>
        <v>2554479</v>
      </c>
      <c r="K66" s="725">
        <f t="shared" si="16"/>
        <v>0</v>
      </c>
      <c r="L66" s="725">
        <f t="shared" si="17"/>
        <v>0</v>
      </c>
    </row>
    <row r="67" spans="1:12" s="751" customFormat="1" ht="18.75" customHeight="1">
      <c r="A67" s="453" t="str">
        <f t="shared" si="14"/>
        <v>TP</v>
      </c>
      <c r="B67" s="770">
        <f t="shared" si="15"/>
        <v>43</v>
      </c>
      <c r="C67" s="771" t="s">
        <v>689</v>
      </c>
      <c r="D67" s="772" t="s">
        <v>970</v>
      </c>
      <c r="E67" s="725"/>
      <c r="F67" s="725"/>
      <c r="G67" s="744">
        <f t="array" ref="G67">SUM(IF("155"&amp;C67=KHN&amp;MH,SL))</f>
        <v>1892</v>
      </c>
      <c r="H67" s="744">
        <f t="array" ref="H67">SUM(IF("155"&amp;C67=KHN&amp;MH,TH))</f>
        <v>9788989</v>
      </c>
      <c r="I67" s="744">
        <f t="array" ref="I67">SUM(IF("155"&amp;C67=KHC&amp;MH,SL))</f>
        <v>1892</v>
      </c>
      <c r="J67" s="744">
        <f t="array" ref="J67">SUM(IF("155"&amp;C67=KHC&amp;MH,TH))</f>
        <v>9788989</v>
      </c>
      <c r="K67" s="725">
        <f t="shared" si="16"/>
        <v>0</v>
      </c>
      <c r="L67" s="725">
        <f t="shared" si="17"/>
        <v>0</v>
      </c>
    </row>
    <row r="68" spans="1:12" s="751" customFormat="1" ht="18.75" customHeight="1">
      <c r="A68" s="453" t="str">
        <f t="shared" si="14"/>
        <v>TP</v>
      </c>
      <c r="B68" s="770">
        <f t="shared" si="15"/>
        <v>44</v>
      </c>
      <c r="C68" s="757" t="s">
        <v>508</v>
      </c>
      <c r="D68" s="772" t="s">
        <v>970</v>
      </c>
      <c r="E68" s="725"/>
      <c r="F68" s="725"/>
      <c r="G68" s="744">
        <f t="array" ref="G68">SUM(IF("155"&amp;C68=KHN&amp;MH,SL))</f>
        <v>4035</v>
      </c>
      <c r="H68" s="744">
        <f t="array" ref="H68">SUM(IF("155"&amp;C68=KHN&amp;MH,TH))</f>
        <v>22950992</v>
      </c>
      <c r="I68" s="744">
        <f t="array" ref="I68">SUM(IF("155"&amp;C68=KHC&amp;MH,SL))</f>
        <v>4035</v>
      </c>
      <c r="J68" s="744">
        <f t="array" ref="J68">SUM(IF("155"&amp;C68=KHC&amp;MH,TH))</f>
        <v>22950992</v>
      </c>
      <c r="K68" s="725">
        <f t="shared" si="16"/>
        <v>0</v>
      </c>
      <c r="L68" s="725">
        <f t="shared" si="17"/>
        <v>0</v>
      </c>
    </row>
    <row r="69" spans="1:12" s="751" customFormat="1" ht="19.5" customHeight="1">
      <c r="A69" s="453" t="str">
        <f t="shared" si="14"/>
        <v>TP</v>
      </c>
      <c r="B69" s="770">
        <f t="shared" si="15"/>
        <v>45</v>
      </c>
      <c r="C69" s="771" t="s">
        <v>851</v>
      </c>
      <c r="D69" s="772" t="s">
        <v>970</v>
      </c>
      <c r="E69" s="725"/>
      <c r="F69" s="725"/>
      <c r="G69" s="744">
        <f t="array" ref="G69">SUM(IF("155"&amp;C69=KHN&amp;MH,SL))</f>
        <v>50</v>
      </c>
      <c r="H69" s="744">
        <f t="array" ref="H69">SUM(IF("155"&amp;C69=KHN&amp;MH,TH))</f>
        <v>228260</v>
      </c>
      <c r="I69" s="744">
        <f t="array" ref="I69">SUM(IF("155"&amp;C69=KHC&amp;MH,SL))</f>
        <v>50</v>
      </c>
      <c r="J69" s="744">
        <f t="array" ref="J69">SUM(IF("155"&amp;C69=KHC&amp;MH,TH))</f>
        <v>228260</v>
      </c>
      <c r="K69" s="725">
        <f t="shared" si="16"/>
        <v>0</v>
      </c>
      <c r="L69" s="725">
        <f t="shared" si="17"/>
        <v>0</v>
      </c>
    </row>
    <row r="70" spans="1:12" s="751" customFormat="1" ht="19.5" customHeight="1">
      <c r="A70" s="453" t="str">
        <f t="shared" si="14"/>
        <v>TP</v>
      </c>
      <c r="B70" s="770">
        <f t="shared" si="15"/>
        <v>46</v>
      </c>
      <c r="C70" s="771" t="s">
        <v>850</v>
      </c>
      <c r="D70" s="772" t="s">
        <v>970</v>
      </c>
      <c r="E70" s="725"/>
      <c r="F70" s="725"/>
      <c r="G70" s="744">
        <f t="array" ref="G70">SUM(IF("155"&amp;C70=KHN&amp;MH,SL))</f>
        <v>180</v>
      </c>
      <c r="H70" s="744">
        <f t="array" ref="H70">SUM(IF("155"&amp;C70=KHN&amp;MH,TH))</f>
        <v>1013473</v>
      </c>
      <c r="I70" s="744">
        <f t="array" ref="I70">SUM(IF("155"&amp;C70=KHC&amp;MH,SL))</f>
        <v>180</v>
      </c>
      <c r="J70" s="744">
        <f t="array" ref="J70">SUM(IF("155"&amp;C70=KHC&amp;MH,TH))</f>
        <v>1013473</v>
      </c>
      <c r="K70" s="725">
        <f t="shared" si="16"/>
        <v>0</v>
      </c>
      <c r="L70" s="725">
        <f t="shared" si="17"/>
        <v>0</v>
      </c>
    </row>
    <row r="71" spans="1:12" s="751" customFormat="1" ht="19.5" customHeight="1">
      <c r="A71" s="453" t="str">
        <f t="shared" si="14"/>
        <v>TP</v>
      </c>
      <c r="B71" s="770">
        <f t="shared" si="15"/>
        <v>47</v>
      </c>
      <c r="C71" s="771" t="s">
        <v>849</v>
      </c>
      <c r="D71" s="772" t="s">
        <v>970</v>
      </c>
      <c r="E71" s="725"/>
      <c r="F71" s="725"/>
      <c r="G71" s="744">
        <f t="array" ref="G71">SUM(IF("155"&amp;C71=KHN&amp;MH,SL))</f>
        <v>292</v>
      </c>
      <c r="H71" s="744">
        <f t="array" ref="H71">SUM(IF("155"&amp;C71=KHN&amp;MH,TH))</f>
        <v>1955119</v>
      </c>
      <c r="I71" s="744">
        <f t="array" ref="I71">SUM(IF("155"&amp;C71=KHC&amp;MH,SL))</f>
        <v>292</v>
      </c>
      <c r="J71" s="744">
        <f t="array" ref="J71">SUM(IF("155"&amp;C71=KHC&amp;MH,TH))</f>
        <v>1955119</v>
      </c>
      <c r="K71" s="725">
        <f t="shared" si="16"/>
        <v>0</v>
      </c>
      <c r="L71" s="725">
        <f t="shared" si="17"/>
        <v>0</v>
      </c>
    </row>
    <row r="72" spans="1:12" s="751" customFormat="1" ht="19.5" customHeight="1">
      <c r="A72" s="453" t="str">
        <f t="shared" si="14"/>
        <v>TP</v>
      </c>
      <c r="B72" s="770">
        <f t="shared" si="15"/>
        <v>48</v>
      </c>
      <c r="C72" s="771" t="s">
        <v>677</v>
      </c>
      <c r="D72" s="772" t="s">
        <v>970</v>
      </c>
      <c r="E72" s="725"/>
      <c r="F72" s="725"/>
      <c r="G72" s="744">
        <f t="array" ref="G72">SUM(IF("155"&amp;C72=KHN&amp;MH,SL))</f>
        <v>105</v>
      </c>
      <c r="H72" s="744">
        <f t="array" ref="H72">SUM(IF("155"&amp;C72=KHN&amp;MH,TH))</f>
        <v>838854</v>
      </c>
      <c r="I72" s="744">
        <f t="array" ref="I72">SUM(IF("155"&amp;C72=KHC&amp;MH,SL))</f>
        <v>105</v>
      </c>
      <c r="J72" s="744">
        <f t="array" ref="J72">SUM(IF("155"&amp;C72=KHC&amp;MH,TH))</f>
        <v>838854</v>
      </c>
      <c r="K72" s="725">
        <f t="shared" si="16"/>
        <v>0</v>
      </c>
      <c r="L72" s="725">
        <f t="shared" si="17"/>
        <v>0</v>
      </c>
    </row>
    <row r="73" spans="1:12" s="751" customFormat="1" ht="19.5" customHeight="1">
      <c r="A73" s="453" t="str">
        <f t="shared" si="14"/>
        <v>TP</v>
      </c>
      <c r="B73" s="770">
        <f t="shared" si="15"/>
        <v>49</v>
      </c>
      <c r="C73" s="771" t="s">
        <v>852</v>
      </c>
      <c r="D73" s="772" t="s">
        <v>970</v>
      </c>
      <c r="E73" s="725"/>
      <c r="F73" s="725"/>
      <c r="G73" s="744">
        <f t="array" ref="G73">SUM(IF("155"&amp;C73=KHN&amp;MH,SL))</f>
        <v>554</v>
      </c>
      <c r="H73" s="744">
        <f t="array" ref="H73">SUM(IF("155"&amp;C73=KHN&amp;MH,TH))</f>
        <v>4973929</v>
      </c>
      <c r="I73" s="744">
        <f t="array" ref="I73">SUM(IF("155"&amp;C73=KHC&amp;MH,SL))</f>
        <v>554</v>
      </c>
      <c r="J73" s="744">
        <f t="array" ref="J73">SUM(IF("155"&amp;C73=KHC&amp;MH,TH))</f>
        <v>4973929</v>
      </c>
      <c r="K73" s="725">
        <f t="shared" si="16"/>
        <v>0</v>
      </c>
      <c r="L73" s="725">
        <f t="shared" si="17"/>
        <v>0</v>
      </c>
    </row>
    <row r="74" spans="1:12" s="751" customFormat="1" ht="19.5" customHeight="1">
      <c r="A74" s="453" t="str">
        <f t="shared" si="14"/>
        <v>TP</v>
      </c>
      <c r="B74" s="770">
        <f t="shared" si="15"/>
        <v>50</v>
      </c>
      <c r="C74" s="757" t="s">
        <v>512</v>
      </c>
      <c r="D74" s="772" t="s">
        <v>970</v>
      </c>
      <c r="E74" s="725"/>
      <c r="F74" s="725"/>
      <c r="G74" s="744">
        <f t="array" ref="G74">SUM(IF("155"&amp;C74=KHN&amp;MH,SL))</f>
        <v>473</v>
      </c>
      <c r="H74" s="744">
        <f t="array" ref="H74">SUM(IF("155"&amp;C74=KHN&amp;MH,TH))</f>
        <v>3158312</v>
      </c>
      <c r="I74" s="744">
        <f t="array" ref="I74">SUM(IF("155"&amp;C74=KHC&amp;MH,SL))</f>
        <v>473</v>
      </c>
      <c r="J74" s="744">
        <f t="array" ref="J74">SUM(IF("155"&amp;C74=KHC&amp;MH,TH))</f>
        <v>3158312</v>
      </c>
      <c r="K74" s="725">
        <f t="shared" si="16"/>
        <v>0</v>
      </c>
      <c r="L74" s="725">
        <f t="shared" si="17"/>
        <v>0</v>
      </c>
    </row>
    <row r="75" spans="1:12" s="751" customFormat="1" ht="19.5" customHeight="1">
      <c r="A75" s="453" t="str">
        <f t="shared" si="14"/>
        <v>TP</v>
      </c>
      <c r="B75" s="770">
        <f t="shared" si="15"/>
        <v>51</v>
      </c>
      <c r="C75" s="773" t="s">
        <v>805</v>
      </c>
      <c r="D75" s="772" t="s">
        <v>970</v>
      </c>
      <c r="E75" s="725"/>
      <c r="F75" s="725"/>
      <c r="G75" s="744">
        <f t="array" ref="G75">SUM(IF("155"&amp;C75=KHN&amp;MH,SL))</f>
        <v>305</v>
      </c>
      <c r="H75" s="744">
        <f t="array" ref="H75">SUM(IF("155"&amp;C75=KHN&amp;MH,TH))</f>
        <v>2158194</v>
      </c>
      <c r="I75" s="744">
        <f t="array" ref="I75">SUM(IF("155"&amp;C75=KHC&amp;MH,SL))</f>
        <v>305</v>
      </c>
      <c r="J75" s="744">
        <f t="array" ref="J75">SUM(IF("155"&amp;C75=KHC&amp;MH,TH))</f>
        <v>2158194</v>
      </c>
      <c r="K75" s="725">
        <f t="shared" si="16"/>
        <v>0</v>
      </c>
      <c r="L75" s="725">
        <f t="shared" si="17"/>
        <v>0</v>
      </c>
    </row>
    <row r="76" spans="1:12" s="751" customFormat="1" ht="19.5" customHeight="1">
      <c r="A76" s="453" t="str">
        <f t="shared" si="14"/>
        <v>TP</v>
      </c>
      <c r="B76" s="770">
        <f t="shared" si="15"/>
        <v>52</v>
      </c>
      <c r="C76" s="771" t="s">
        <v>662</v>
      </c>
      <c r="D76" s="772" t="s">
        <v>970</v>
      </c>
      <c r="E76" s="725"/>
      <c r="F76" s="725"/>
      <c r="G76" s="744">
        <f t="array" ref="G76">SUM(IF("155"&amp;C76=KHN&amp;MH,SL))</f>
        <v>857</v>
      </c>
      <c r="H76" s="744">
        <f t="array" ref="H76">SUM(IF("155"&amp;C76=KHN&amp;MH,TH))</f>
        <v>6442649</v>
      </c>
      <c r="I76" s="744">
        <f t="array" ref="I76">SUM(IF("155"&amp;C76=KHC&amp;MH,SL))</f>
        <v>857</v>
      </c>
      <c r="J76" s="744">
        <f t="array" ref="J76">SUM(IF("155"&amp;C76=KHC&amp;MH,TH))</f>
        <v>6442649</v>
      </c>
      <c r="K76" s="725">
        <f t="shared" si="16"/>
        <v>0</v>
      </c>
      <c r="L76" s="725">
        <f t="shared" si="17"/>
        <v>0</v>
      </c>
    </row>
    <row r="77" spans="1:12" s="751" customFormat="1" ht="19.5" customHeight="1">
      <c r="A77" s="453" t="str">
        <f t="shared" si="14"/>
        <v>TP</v>
      </c>
      <c r="B77" s="770">
        <f t="shared" si="15"/>
        <v>53</v>
      </c>
      <c r="C77" s="757" t="s">
        <v>678</v>
      </c>
      <c r="D77" s="772" t="s">
        <v>970</v>
      </c>
      <c r="E77" s="725"/>
      <c r="F77" s="725"/>
      <c r="G77" s="744">
        <f t="array" ref="G77">SUM(IF("155"&amp;C77=KHN&amp;MH,SL))</f>
        <v>110</v>
      </c>
      <c r="H77" s="744">
        <f t="array" ref="H77">SUM(IF("155"&amp;C77=KHN&amp;MH,TH))</f>
        <v>945756</v>
      </c>
      <c r="I77" s="744">
        <f t="array" ref="I77">SUM(IF("155"&amp;C77=KHC&amp;MH,SL))</f>
        <v>110</v>
      </c>
      <c r="J77" s="744">
        <f t="array" ref="J77">SUM(IF("155"&amp;C77=KHC&amp;MH,TH))</f>
        <v>945756</v>
      </c>
      <c r="K77" s="725">
        <f t="shared" si="16"/>
        <v>0</v>
      </c>
      <c r="L77" s="725">
        <f t="shared" si="17"/>
        <v>0</v>
      </c>
    </row>
    <row r="78" spans="1:12" s="751" customFormat="1" ht="19.5" customHeight="1">
      <c r="A78" s="453" t="str">
        <f t="shared" si="14"/>
        <v>TP</v>
      </c>
      <c r="B78" s="770">
        <f t="shared" si="15"/>
        <v>54</v>
      </c>
      <c r="C78" s="771" t="s">
        <v>529</v>
      </c>
      <c r="D78" s="772" t="s">
        <v>970</v>
      </c>
      <c r="E78" s="725"/>
      <c r="F78" s="725"/>
      <c r="G78" s="744">
        <f t="array" ref="G78">SUM(IF("155"&amp;C78=KHN&amp;MH,SL))</f>
        <v>19</v>
      </c>
      <c r="H78" s="744">
        <f t="array" ref="H78">SUM(IF("155"&amp;C78=KHN&amp;MH,TH))</f>
        <v>214577</v>
      </c>
      <c r="I78" s="744">
        <f t="array" ref="I78">SUM(IF("155"&amp;C78=KHC&amp;MH,SL))</f>
        <v>19</v>
      </c>
      <c r="J78" s="744">
        <f t="array" ref="J78">SUM(IF("155"&amp;C78=KHC&amp;MH,TH))</f>
        <v>214577</v>
      </c>
      <c r="K78" s="725">
        <f t="shared" si="16"/>
        <v>0</v>
      </c>
      <c r="L78" s="725">
        <f t="shared" si="17"/>
        <v>0</v>
      </c>
    </row>
    <row r="79" spans="1:12" s="751" customFormat="1" ht="19.5" customHeight="1">
      <c r="A79" s="453" t="str">
        <f t="shared" si="14"/>
        <v>TP</v>
      </c>
      <c r="B79" s="770">
        <f t="shared" si="15"/>
        <v>55</v>
      </c>
      <c r="C79" s="757" t="s">
        <v>503</v>
      </c>
      <c r="D79" s="772" t="s">
        <v>970</v>
      </c>
      <c r="E79" s="725"/>
      <c r="F79" s="725"/>
      <c r="G79" s="744">
        <f t="array" ref="G79">SUM(IF("155"&amp;C79=KHN&amp;MH,SL))</f>
        <v>75</v>
      </c>
      <c r="H79" s="744">
        <f t="array" ref="H79">SUM(IF("155"&amp;C79=KHN&amp;MH,TH))</f>
        <v>834649</v>
      </c>
      <c r="I79" s="744">
        <f t="array" ref="I79">SUM(IF("155"&amp;C79=KHC&amp;MH,SL))</f>
        <v>75</v>
      </c>
      <c r="J79" s="744">
        <f t="array" ref="J79">SUM(IF("155"&amp;C79=KHC&amp;MH,TH))</f>
        <v>834649</v>
      </c>
      <c r="K79" s="725">
        <f t="shared" si="16"/>
        <v>0</v>
      </c>
      <c r="L79" s="725">
        <f t="shared" si="17"/>
        <v>0</v>
      </c>
    </row>
    <row r="80" spans="1:12" s="751" customFormat="1" ht="19.5" customHeight="1">
      <c r="A80" s="453" t="str">
        <f t="shared" si="14"/>
        <v>TP</v>
      </c>
      <c r="B80" s="770">
        <f t="shared" si="15"/>
        <v>56</v>
      </c>
      <c r="C80" s="771" t="s">
        <v>528</v>
      </c>
      <c r="D80" s="772" t="s">
        <v>970</v>
      </c>
      <c r="E80" s="725"/>
      <c r="F80" s="725"/>
      <c r="G80" s="744">
        <f t="array" ref="G80">SUM(IF("155"&amp;C80=KHN&amp;MH,SL))</f>
        <v>309</v>
      </c>
      <c r="H80" s="744">
        <f t="array" ref="H80">SUM(IF("155"&amp;C80=KHN&amp;MH,TH))</f>
        <v>1884947</v>
      </c>
      <c r="I80" s="744">
        <f t="array" ref="I80">SUM(IF("155"&amp;C80=KHC&amp;MH,SL))</f>
        <v>309</v>
      </c>
      <c r="J80" s="744">
        <f t="array" ref="J80">SUM(IF("155"&amp;C80=KHC&amp;MH,TH))</f>
        <v>1884947</v>
      </c>
      <c r="K80" s="725">
        <f t="shared" si="16"/>
        <v>0</v>
      </c>
      <c r="L80" s="725">
        <f t="shared" si="17"/>
        <v>0</v>
      </c>
    </row>
    <row r="81" spans="1:12" s="751" customFormat="1" ht="19.5" customHeight="1">
      <c r="A81" s="453" t="str">
        <f t="shared" si="14"/>
        <v>TP</v>
      </c>
      <c r="B81" s="770">
        <f t="shared" si="15"/>
        <v>57</v>
      </c>
      <c r="C81" s="771" t="s">
        <v>800</v>
      </c>
      <c r="D81" s="772" t="s">
        <v>970</v>
      </c>
      <c r="E81" s="725"/>
      <c r="F81" s="725"/>
      <c r="G81" s="744">
        <f t="array" ref="G81">SUM(IF("155"&amp;C81=KHN&amp;MH,SL))</f>
        <v>423</v>
      </c>
      <c r="H81" s="744">
        <f t="array" ref="H81">SUM(IF("155"&amp;C81=KHN&amp;MH,TH))</f>
        <v>2413845</v>
      </c>
      <c r="I81" s="744">
        <f t="array" ref="I81">SUM(IF("155"&amp;C81=KHC&amp;MH,SL))</f>
        <v>423</v>
      </c>
      <c r="J81" s="744">
        <f t="array" ref="J81">SUM(IF("155"&amp;C81=KHC&amp;MH,TH))</f>
        <v>2413845</v>
      </c>
      <c r="K81" s="725">
        <f t="shared" si="16"/>
        <v>0</v>
      </c>
      <c r="L81" s="725">
        <f t="shared" si="17"/>
        <v>0</v>
      </c>
    </row>
    <row r="82" spans="1:12" s="751" customFormat="1" ht="19.5" customHeight="1">
      <c r="A82" s="453" t="str">
        <f t="shared" si="14"/>
        <v>TP</v>
      </c>
      <c r="B82" s="770">
        <f t="shared" si="15"/>
        <v>58</v>
      </c>
      <c r="C82" s="773" t="s">
        <v>669</v>
      </c>
      <c r="D82" s="772" t="s">
        <v>970</v>
      </c>
      <c r="E82" s="725"/>
      <c r="F82" s="725"/>
      <c r="G82" s="744">
        <f t="array" ref="G82">SUM(IF("155"&amp;C82=KHN&amp;MH,SL))</f>
        <v>330</v>
      </c>
      <c r="H82" s="744">
        <f t="array" ref="H82">SUM(IF("155"&amp;C82=KHN&amp;MH,TH))</f>
        <v>2284879</v>
      </c>
      <c r="I82" s="744">
        <f t="array" ref="I82">SUM(IF("155"&amp;C82=KHC&amp;MH,SL))</f>
        <v>330</v>
      </c>
      <c r="J82" s="744">
        <f t="array" ref="J82">SUM(IF("155"&amp;C82=KHC&amp;MH,TH))</f>
        <v>2284879</v>
      </c>
      <c r="K82" s="725">
        <f t="shared" si="16"/>
        <v>0</v>
      </c>
      <c r="L82" s="725">
        <f t="shared" si="17"/>
        <v>0</v>
      </c>
    </row>
    <row r="83" spans="1:12" s="751" customFormat="1" ht="19.5" customHeight="1">
      <c r="A83" s="453" t="str">
        <f t="shared" si="14"/>
        <v>TP</v>
      </c>
      <c r="B83" s="770">
        <f t="shared" si="15"/>
        <v>59</v>
      </c>
      <c r="C83" s="771" t="s">
        <v>547</v>
      </c>
      <c r="D83" s="772" t="s">
        <v>970</v>
      </c>
      <c r="E83" s="725"/>
      <c r="F83" s="725"/>
      <c r="G83" s="744">
        <f t="array" ref="G83">SUM(IF("155"&amp;C83=KHN&amp;MH,SL))</f>
        <v>109</v>
      </c>
      <c r="H83" s="744">
        <f t="array" ref="H83">SUM(IF("155"&amp;C83=KHN&amp;MH,TH))</f>
        <v>485209</v>
      </c>
      <c r="I83" s="744">
        <f t="array" ref="I83">SUM(IF("155"&amp;C83=KHC&amp;MH,SL))</f>
        <v>109</v>
      </c>
      <c r="J83" s="744">
        <f t="array" ref="J83">SUM(IF("155"&amp;C83=KHC&amp;MH,TH))</f>
        <v>485209</v>
      </c>
      <c r="K83" s="725">
        <f t="shared" si="16"/>
        <v>0</v>
      </c>
      <c r="L83" s="725">
        <f t="shared" si="17"/>
        <v>0</v>
      </c>
    </row>
    <row r="84" spans="1:12" s="751" customFormat="1" ht="19.5" customHeight="1">
      <c r="A84" s="453" t="str">
        <f t="shared" si="14"/>
        <v>TP</v>
      </c>
      <c r="B84" s="770">
        <f t="shared" si="15"/>
        <v>60</v>
      </c>
      <c r="C84" s="771" t="s">
        <v>515</v>
      </c>
      <c r="D84" s="772" t="s">
        <v>970</v>
      </c>
      <c r="E84" s="725"/>
      <c r="F84" s="725"/>
      <c r="G84" s="744">
        <f t="array" ref="G84">SUM(IF("155"&amp;C84=KHN&amp;MH,SL))</f>
        <v>606</v>
      </c>
      <c r="H84" s="744">
        <f t="array" ref="H84">SUM(IF("155"&amp;C84=KHN&amp;MH,TH))</f>
        <v>3546825</v>
      </c>
      <c r="I84" s="744">
        <f t="array" ref="I84">SUM(IF("155"&amp;C84=KHC&amp;MH,SL))</f>
        <v>606</v>
      </c>
      <c r="J84" s="744">
        <f t="array" ref="J84">SUM(IF("155"&amp;C84=KHC&amp;MH,TH))</f>
        <v>3546825</v>
      </c>
      <c r="K84" s="725">
        <f t="shared" si="16"/>
        <v>0</v>
      </c>
      <c r="L84" s="725">
        <f t="shared" si="17"/>
        <v>0</v>
      </c>
    </row>
    <row r="85" spans="1:12" s="751" customFormat="1" ht="19.5" customHeight="1">
      <c r="A85" s="453" t="str">
        <f t="shared" si="14"/>
        <v>TP</v>
      </c>
      <c r="B85" s="770">
        <f t="shared" si="15"/>
        <v>61</v>
      </c>
      <c r="C85" s="771" t="s">
        <v>847</v>
      </c>
      <c r="D85" s="772" t="s">
        <v>970</v>
      </c>
      <c r="E85" s="725"/>
      <c r="F85" s="725"/>
      <c r="G85" s="744">
        <f t="array" ref="G85">SUM(IF("155"&amp;C85=KHN&amp;MH,SL))</f>
        <v>1160</v>
      </c>
      <c r="H85" s="744">
        <f t="array" ref="H85">SUM(IF("155"&amp;C85=KHN&amp;MH,TH))</f>
        <v>7766913</v>
      </c>
      <c r="I85" s="744">
        <f t="array" ref="I85">SUM(IF("155"&amp;C85=KHC&amp;MH,SL))</f>
        <v>1160</v>
      </c>
      <c r="J85" s="744">
        <f t="array" ref="J85">SUM(IF("155"&amp;C85=KHC&amp;MH,TH))</f>
        <v>7766913</v>
      </c>
      <c r="K85" s="725">
        <f t="shared" si="16"/>
        <v>0</v>
      </c>
      <c r="L85" s="725">
        <f t="shared" si="17"/>
        <v>0</v>
      </c>
    </row>
    <row r="86" spans="1:12" s="751" customFormat="1" ht="19.5" customHeight="1">
      <c r="A86" s="453" t="str">
        <f t="shared" si="14"/>
        <v>TP</v>
      </c>
      <c r="B86" s="770">
        <f t="shared" si="15"/>
        <v>62</v>
      </c>
      <c r="C86" s="771" t="s">
        <v>902</v>
      </c>
      <c r="D86" s="772" t="s">
        <v>970</v>
      </c>
      <c r="E86" s="725"/>
      <c r="F86" s="725"/>
      <c r="G86" s="744">
        <f t="array" ref="G86">SUM(IF("155"&amp;C86=KHN&amp;MH,SL))</f>
        <v>160</v>
      </c>
      <c r="H86" s="744">
        <f t="array" ref="H86">SUM(IF("155"&amp;C86=KHN&amp;MH,TH))</f>
        <v>1558252</v>
      </c>
      <c r="I86" s="744">
        <f t="array" ref="I86">SUM(IF("155"&amp;C86=KHC&amp;MH,SL))</f>
        <v>160</v>
      </c>
      <c r="J86" s="744">
        <f t="array" ref="J86">SUM(IF("155"&amp;C86=KHC&amp;MH,TH))</f>
        <v>1558252</v>
      </c>
      <c r="K86" s="725">
        <f t="shared" si="16"/>
        <v>0</v>
      </c>
      <c r="L86" s="725">
        <f t="shared" si="17"/>
        <v>0</v>
      </c>
    </row>
    <row r="87" spans="1:12" s="751" customFormat="1" ht="19.5" customHeight="1">
      <c r="A87" s="453" t="str">
        <f t="shared" si="14"/>
        <v>TP</v>
      </c>
      <c r="B87" s="770">
        <f t="shared" si="15"/>
        <v>63</v>
      </c>
      <c r="C87" s="771" t="s">
        <v>536</v>
      </c>
      <c r="D87" s="772" t="s">
        <v>970</v>
      </c>
      <c r="E87" s="725"/>
      <c r="F87" s="725"/>
      <c r="G87" s="744">
        <f t="array" ref="G87">SUM(IF("155"&amp;C87=KHN&amp;MH,SL))</f>
        <v>311</v>
      </c>
      <c r="H87" s="744">
        <f t="array" ref="H87">SUM(IF("155"&amp;C87=KHN&amp;MH,TH))</f>
        <v>1999695</v>
      </c>
      <c r="I87" s="744">
        <f t="array" ref="I87">SUM(IF("155"&amp;C87=KHC&amp;MH,SL))</f>
        <v>311</v>
      </c>
      <c r="J87" s="744">
        <f t="array" ref="J87">SUM(IF("155"&amp;C87=KHC&amp;MH,TH))</f>
        <v>1999695</v>
      </c>
      <c r="K87" s="725">
        <f t="shared" si="16"/>
        <v>0</v>
      </c>
      <c r="L87" s="725">
        <f t="shared" si="17"/>
        <v>0</v>
      </c>
    </row>
    <row r="88" spans="1:12" s="751" customFormat="1" ht="19.5" customHeight="1">
      <c r="A88" s="453" t="str">
        <f t="shared" si="14"/>
        <v>TP</v>
      </c>
      <c r="B88" s="770">
        <f t="shared" si="15"/>
        <v>64</v>
      </c>
      <c r="C88" s="771" t="s">
        <v>667</v>
      </c>
      <c r="D88" s="772" t="s">
        <v>970</v>
      </c>
      <c r="E88" s="725"/>
      <c r="F88" s="725"/>
      <c r="G88" s="744">
        <f t="array" ref="G88">SUM(IF("155"&amp;C88=KHN&amp;MH,SL))</f>
        <v>111</v>
      </c>
      <c r="H88" s="744">
        <f t="array" ref="H88">SUM(IF("155"&amp;C88=KHN&amp;MH,TH))</f>
        <v>878343</v>
      </c>
      <c r="I88" s="744">
        <f t="array" ref="I88">SUM(IF("155"&amp;C88=KHC&amp;MH,SL))</f>
        <v>111</v>
      </c>
      <c r="J88" s="744">
        <f t="array" ref="J88">SUM(IF("155"&amp;C88=KHC&amp;MH,TH))</f>
        <v>878343</v>
      </c>
      <c r="K88" s="725">
        <f t="shared" si="16"/>
        <v>0</v>
      </c>
      <c r="L88" s="725">
        <f t="shared" si="17"/>
        <v>0</v>
      </c>
    </row>
    <row r="89" spans="1:12" s="751" customFormat="1" ht="19.5" customHeight="1">
      <c r="A89" s="453" t="str">
        <f t="shared" si="14"/>
        <v>TP</v>
      </c>
      <c r="B89" s="770">
        <f t="shared" si="15"/>
        <v>65</v>
      </c>
      <c r="C89" s="771" t="s">
        <v>671</v>
      </c>
      <c r="D89" s="772" t="s">
        <v>970</v>
      </c>
      <c r="E89" s="725"/>
      <c r="F89" s="725"/>
      <c r="G89" s="744">
        <f t="array" ref="G89">SUM(IF("155"&amp;C89=KHN&amp;MH,SL))</f>
        <v>81</v>
      </c>
      <c r="H89" s="744">
        <f t="array" ref="H89">SUM(IF("155"&amp;C89=KHN&amp;MH,TH))</f>
        <v>665605</v>
      </c>
      <c r="I89" s="744">
        <f t="array" ref="I89">SUM(IF("155"&amp;C89=KHC&amp;MH,SL))</f>
        <v>81</v>
      </c>
      <c r="J89" s="744">
        <f t="array" ref="J89">SUM(IF("155"&amp;C89=KHC&amp;MH,TH))</f>
        <v>665605</v>
      </c>
      <c r="K89" s="725">
        <f t="shared" ref="K89:K120" si="18">E89+G89-I89</f>
        <v>0</v>
      </c>
      <c r="L89" s="725">
        <f t="shared" ref="L89:L120" si="19">F89+H89-J89</f>
        <v>0</v>
      </c>
    </row>
    <row r="90" spans="1:12" s="751" customFormat="1" ht="19.5" customHeight="1">
      <c r="A90" s="453" t="str">
        <f t="shared" si="14"/>
        <v>TP</v>
      </c>
      <c r="B90" s="770">
        <f t="shared" si="15"/>
        <v>66</v>
      </c>
      <c r="C90" s="757" t="s">
        <v>670</v>
      </c>
      <c r="D90" s="772" t="s">
        <v>970</v>
      </c>
      <c r="E90" s="725"/>
      <c r="F90" s="725"/>
      <c r="G90" s="744">
        <f t="array" ref="G90">SUM(IF("155"&amp;C90=KHN&amp;MH,SL))</f>
        <v>23</v>
      </c>
      <c r="H90" s="744">
        <f t="array" ref="H90">SUM(IF("155"&amp;C90=KHN&amp;MH,TH))</f>
        <v>197749</v>
      </c>
      <c r="I90" s="744">
        <f t="array" ref="I90">SUM(IF("155"&amp;C90=KHC&amp;MH,SL))</f>
        <v>23</v>
      </c>
      <c r="J90" s="744">
        <f t="array" ref="J90">SUM(IF("155"&amp;C90=KHC&amp;MH,TH))</f>
        <v>197749</v>
      </c>
      <c r="K90" s="725">
        <f t="shared" si="18"/>
        <v>0</v>
      </c>
      <c r="L90" s="725">
        <f t="shared" si="19"/>
        <v>0</v>
      </c>
    </row>
    <row r="91" spans="1:12" s="751" customFormat="1" ht="19.5" customHeight="1">
      <c r="A91" s="453" t="str">
        <f t="shared" ref="A91:A154" si="20">IF(B91&lt;&gt;"","TP","")</f>
        <v>TP</v>
      </c>
      <c r="B91" s="770">
        <f t="shared" ref="B91:B154" si="21">IF(C91&lt;&gt;"",B90+1,"")</f>
        <v>67</v>
      </c>
      <c r="C91" s="773" t="s">
        <v>543</v>
      </c>
      <c r="D91" s="772" t="s">
        <v>970</v>
      </c>
      <c r="E91" s="725"/>
      <c r="F91" s="725"/>
      <c r="G91" s="744">
        <f t="array" ref="G91">SUM(IF("155"&amp;C91=KHN&amp;MH,SL))</f>
        <v>10520</v>
      </c>
      <c r="H91" s="744">
        <f t="array" ref="H91">SUM(IF("155"&amp;C91=KHN&amp;MH,TH))</f>
        <v>71111269</v>
      </c>
      <c r="I91" s="744">
        <f t="array" ref="I91">SUM(IF("155"&amp;C91=KHC&amp;MH,SL))</f>
        <v>10520</v>
      </c>
      <c r="J91" s="744">
        <f t="array" ref="J91">SUM(IF("155"&amp;C91=KHC&amp;MH,TH))</f>
        <v>71111269</v>
      </c>
      <c r="K91" s="725">
        <f t="shared" si="18"/>
        <v>0</v>
      </c>
      <c r="L91" s="725">
        <f t="shared" si="19"/>
        <v>0</v>
      </c>
    </row>
    <row r="92" spans="1:12" s="751" customFormat="1" ht="19.5" customHeight="1">
      <c r="A92" s="453" t="str">
        <f t="shared" si="20"/>
        <v>TP</v>
      </c>
      <c r="B92" s="770">
        <f t="shared" si="21"/>
        <v>68</v>
      </c>
      <c r="C92" s="771" t="s">
        <v>517</v>
      </c>
      <c r="D92" s="772" t="s">
        <v>970</v>
      </c>
      <c r="E92" s="725"/>
      <c r="F92" s="725"/>
      <c r="G92" s="744">
        <f t="array" ref="G92">SUM(IF("155"&amp;C92=KHN&amp;MH,SL))</f>
        <v>304</v>
      </c>
      <c r="H92" s="744">
        <f t="array" ref="H92">SUM(IF("155"&amp;C92=KHN&amp;MH,TH))</f>
        <v>3307930</v>
      </c>
      <c r="I92" s="744">
        <f t="array" ref="I92">SUM(IF("155"&amp;C92=KHC&amp;MH,SL))</f>
        <v>304</v>
      </c>
      <c r="J92" s="744">
        <f t="array" ref="J92">SUM(IF("155"&amp;C92=KHC&amp;MH,TH))</f>
        <v>3307930</v>
      </c>
      <c r="K92" s="725">
        <f t="shared" si="18"/>
        <v>0</v>
      </c>
      <c r="L92" s="725">
        <f t="shared" si="19"/>
        <v>0</v>
      </c>
    </row>
    <row r="93" spans="1:12" s="751" customFormat="1" ht="19.5" customHeight="1">
      <c r="A93" s="453" t="str">
        <f t="shared" si="20"/>
        <v>TP</v>
      </c>
      <c r="B93" s="770">
        <f t="shared" si="21"/>
        <v>69</v>
      </c>
      <c r="C93" s="771" t="s">
        <v>661</v>
      </c>
      <c r="D93" s="772" t="s">
        <v>970</v>
      </c>
      <c r="E93" s="725"/>
      <c r="F93" s="725"/>
      <c r="G93" s="744">
        <f t="array" ref="G93">SUM(IF("155"&amp;C93=KHN&amp;MH,SL))</f>
        <v>227</v>
      </c>
      <c r="H93" s="744">
        <f t="array" ref="H93">SUM(IF("155"&amp;C93=KHN&amp;MH,TH))</f>
        <v>2039676</v>
      </c>
      <c r="I93" s="744">
        <f t="array" ref="I93">SUM(IF("155"&amp;C93=KHC&amp;MH,SL))</f>
        <v>227</v>
      </c>
      <c r="J93" s="744">
        <f t="array" ref="J93">SUM(IF("155"&amp;C93=KHC&amp;MH,TH))</f>
        <v>2039676</v>
      </c>
      <c r="K93" s="725">
        <f t="shared" si="18"/>
        <v>0</v>
      </c>
      <c r="L93" s="725">
        <f t="shared" si="19"/>
        <v>0</v>
      </c>
    </row>
    <row r="94" spans="1:12" s="751" customFormat="1" ht="19.5" customHeight="1">
      <c r="A94" s="453" t="str">
        <f t="shared" si="20"/>
        <v>TP</v>
      </c>
      <c r="B94" s="770">
        <f t="shared" si="21"/>
        <v>70</v>
      </c>
      <c r="C94" s="771" t="s">
        <v>500</v>
      </c>
      <c r="D94" s="772" t="s">
        <v>970</v>
      </c>
      <c r="E94" s="725"/>
      <c r="F94" s="725"/>
      <c r="G94" s="744">
        <f t="array" ref="G94">SUM(IF("155"&amp;C94=KHN&amp;MH,SL))</f>
        <v>6808</v>
      </c>
      <c r="H94" s="744">
        <f t="array" ref="H94">SUM(IF("155"&amp;C94=KHN&amp;MH,TH))</f>
        <v>61005565</v>
      </c>
      <c r="I94" s="744">
        <f t="array" ref="I94">SUM(IF("155"&amp;C94=KHC&amp;MH,SL))</f>
        <v>6808</v>
      </c>
      <c r="J94" s="744">
        <f t="array" ref="J94">SUM(IF("155"&amp;C94=KHC&amp;MH,TH))</f>
        <v>61005565</v>
      </c>
      <c r="K94" s="725">
        <f t="shared" si="18"/>
        <v>0</v>
      </c>
      <c r="L94" s="725">
        <f t="shared" si="19"/>
        <v>0</v>
      </c>
    </row>
    <row r="95" spans="1:12" s="751" customFormat="1" ht="19.5" customHeight="1">
      <c r="A95" s="453" t="str">
        <f t="shared" si="20"/>
        <v>TP</v>
      </c>
      <c r="B95" s="770">
        <f t="shared" si="21"/>
        <v>71</v>
      </c>
      <c r="C95" s="757" t="s">
        <v>675</v>
      </c>
      <c r="D95" s="772" t="s">
        <v>970</v>
      </c>
      <c r="E95" s="725"/>
      <c r="F95" s="725"/>
      <c r="G95" s="744">
        <f t="array" ref="G95">SUM(IF("155"&amp;C95=KHN&amp;MH,SL))</f>
        <v>103</v>
      </c>
      <c r="H95" s="744">
        <f t="array" ref="H95">SUM(IF("155"&amp;C95=KHN&amp;MH,TH))</f>
        <v>979614</v>
      </c>
      <c r="I95" s="744">
        <f t="array" ref="I95">SUM(IF("155"&amp;C95=KHC&amp;MH,SL))</f>
        <v>103</v>
      </c>
      <c r="J95" s="744">
        <f t="array" ref="J95">SUM(IF("155"&amp;C95=KHC&amp;MH,TH))</f>
        <v>979614</v>
      </c>
      <c r="K95" s="725">
        <f t="shared" si="18"/>
        <v>0</v>
      </c>
      <c r="L95" s="725">
        <f t="shared" si="19"/>
        <v>0</v>
      </c>
    </row>
    <row r="96" spans="1:12" s="751" customFormat="1" ht="19.5" customHeight="1">
      <c r="A96" s="453" t="str">
        <f t="shared" si="20"/>
        <v>TP</v>
      </c>
      <c r="B96" s="770">
        <f t="shared" si="21"/>
        <v>72</v>
      </c>
      <c r="C96" s="773" t="s">
        <v>548</v>
      </c>
      <c r="D96" s="772" t="s">
        <v>970</v>
      </c>
      <c r="E96" s="725"/>
      <c r="F96" s="725"/>
      <c r="G96" s="744">
        <f t="array" ref="G96">SUM(IF("155"&amp;C96=KHN&amp;MH,SL))</f>
        <v>102</v>
      </c>
      <c r="H96" s="744">
        <f t="array" ref="H96">SUM(IF("155"&amp;C96=KHN&amp;MH,TH))</f>
        <v>521316</v>
      </c>
      <c r="I96" s="744">
        <f t="array" ref="I96">SUM(IF("155"&amp;C96=KHC&amp;MH,SL))</f>
        <v>102</v>
      </c>
      <c r="J96" s="744">
        <f t="array" ref="J96">SUM(IF("155"&amp;C96=KHC&amp;MH,TH))</f>
        <v>521316</v>
      </c>
      <c r="K96" s="725">
        <f t="shared" si="18"/>
        <v>0</v>
      </c>
      <c r="L96" s="725">
        <f t="shared" si="19"/>
        <v>0</v>
      </c>
    </row>
    <row r="97" spans="1:12" s="751" customFormat="1" ht="19.5" customHeight="1">
      <c r="A97" s="453" t="str">
        <f t="shared" si="20"/>
        <v>TP</v>
      </c>
      <c r="B97" s="770">
        <f t="shared" si="21"/>
        <v>73</v>
      </c>
      <c r="C97" s="771" t="s">
        <v>674</v>
      </c>
      <c r="D97" s="772" t="s">
        <v>970</v>
      </c>
      <c r="E97" s="725"/>
      <c r="F97" s="725"/>
      <c r="G97" s="744">
        <f t="array" ref="G97">SUM(IF("155"&amp;C97=KHN&amp;MH,SL))</f>
        <v>160</v>
      </c>
      <c r="H97" s="744">
        <f t="array" ref="H97">SUM(IF("155"&amp;C97=KHN&amp;MH,TH))</f>
        <v>1314775</v>
      </c>
      <c r="I97" s="744">
        <f t="array" ref="I97">SUM(IF("155"&amp;C97=KHC&amp;MH,SL))</f>
        <v>160</v>
      </c>
      <c r="J97" s="744">
        <f t="array" ref="J97">SUM(IF("155"&amp;C97=KHC&amp;MH,TH))</f>
        <v>1314775</v>
      </c>
      <c r="K97" s="725">
        <f t="shared" si="18"/>
        <v>0</v>
      </c>
      <c r="L97" s="725">
        <f t="shared" si="19"/>
        <v>0</v>
      </c>
    </row>
    <row r="98" spans="1:12" s="751" customFormat="1" ht="19.5" customHeight="1">
      <c r="A98" s="453" t="str">
        <f t="shared" si="20"/>
        <v>TP</v>
      </c>
      <c r="B98" s="770">
        <f t="shared" si="21"/>
        <v>74</v>
      </c>
      <c r="C98" s="757" t="s">
        <v>652</v>
      </c>
      <c r="D98" s="772" t="s">
        <v>970</v>
      </c>
      <c r="E98" s="725"/>
      <c r="F98" s="725"/>
      <c r="G98" s="744">
        <f t="array" ref="G98">SUM(IF("155"&amp;C98=KHN&amp;MH,SL))</f>
        <v>3437</v>
      </c>
      <c r="H98" s="744">
        <f t="array" ref="H98">SUM(IF("155"&amp;C98=KHN&amp;MH,TH))</f>
        <v>30316018</v>
      </c>
      <c r="I98" s="744">
        <f t="array" ref="I98">SUM(IF("155"&amp;C98=KHC&amp;MH,SL))</f>
        <v>3437</v>
      </c>
      <c r="J98" s="744">
        <f t="array" ref="J98">SUM(IF("155"&amp;C98=KHC&amp;MH,TH))</f>
        <v>30316018</v>
      </c>
      <c r="K98" s="725">
        <f t="shared" si="18"/>
        <v>0</v>
      </c>
      <c r="L98" s="725">
        <f t="shared" si="19"/>
        <v>0</v>
      </c>
    </row>
    <row r="99" spans="1:12" s="751" customFormat="1" ht="19.5" customHeight="1">
      <c r="A99" s="453" t="str">
        <f t="shared" si="20"/>
        <v>TP</v>
      </c>
      <c r="B99" s="770">
        <f t="shared" si="21"/>
        <v>75</v>
      </c>
      <c r="C99" s="771" t="s">
        <v>498</v>
      </c>
      <c r="D99" s="772" t="s">
        <v>970</v>
      </c>
      <c r="E99" s="725"/>
      <c r="F99" s="725"/>
      <c r="G99" s="744">
        <f t="array" ref="G99">SUM(IF("155"&amp;C99=KHN&amp;MH,SL))</f>
        <v>3265</v>
      </c>
      <c r="H99" s="744">
        <f t="array" ref="H99">SUM(IF("155"&amp;C99=KHN&amp;MH,TH))</f>
        <v>33133078</v>
      </c>
      <c r="I99" s="744">
        <f t="array" ref="I99">SUM(IF("155"&amp;C99=KHC&amp;MH,SL))</f>
        <v>3265</v>
      </c>
      <c r="J99" s="744">
        <f t="array" ref="J99">SUM(IF("155"&amp;C99=KHC&amp;MH,TH))</f>
        <v>33133078</v>
      </c>
      <c r="K99" s="725">
        <f t="shared" si="18"/>
        <v>0</v>
      </c>
      <c r="L99" s="725">
        <f t="shared" si="19"/>
        <v>0</v>
      </c>
    </row>
    <row r="100" spans="1:12" s="751" customFormat="1" ht="19.5" customHeight="1">
      <c r="A100" s="453" t="str">
        <f t="shared" si="20"/>
        <v>TP</v>
      </c>
      <c r="B100" s="770">
        <f t="shared" si="21"/>
        <v>76</v>
      </c>
      <c r="C100" s="774" t="s">
        <v>683</v>
      </c>
      <c r="D100" s="772" t="s">
        <v>970</v>
      </c>
      <c r="E100" s="725"/>
      <c r="F100" s="725"/>
      <c r="G100" s="744">
        <f t="array" ref="G100">SUM(IF("155"&amp;C100=KHN&amp;MH,SL))</f>
        <v>81</v>
      </c>
      <c r="H100" s="744">
        <f t="array" ref="H100">SUM(IF("155"&amp;C100=KHN&amp;MH,TH))</f>
        <v>1286644</v>
      </c>
      <c r="I100" s="744">
        <f t="array" ref="I100">SUM(IF("155"&amp;C100=KHC&amp;MH,SL))</f>
        <v>81</v>
      </c>
      <c r="J100" s="744">
        <f t="array" ref="J100">SUM(IF("155"&amp;C100=KHC&amp;MH,TH))</f>
        <v>1286644</v>
      </c>
      <c r="K100" s="725">
        <f t="shared" si="18"/>
        <v>0</v>
      </c>
      <c r="L100" s="725">
        <f t="shared" si="19"/>
        <v>0</v>
      </c>
    </row>
    <row r="101" spans="1:12" s="751" customFormat="1" ht="19.5" customHeight="1">
      <c r="A101" s="453" t="str">
        <f t="shared" si="20"/>
        <v>TP</v>
      </c>
      <c r="B101" s="770">
        <f t="shared" si="21"/>
        <v>77</v>
      </c>
      <c r="C101" s="771" t="s">
        <v>836</v>
      </c>
      <c r="D101" s="772" t="s">
        <v>970</v>
      </c>
      <c r="E101" s="725"/>
      <c r="F101" s="725"/>
      <c r="G101" s="744">
        <f t="array" ref="G101">SUM(IF("155"&amp;C101=KHN&amp;MH,SL))</f>
        <v>300</v>
      </c>
      <c r="H101" s="744">
        <f t="array" ref="H101">SUM(IF("155"&amp;C101=KHN&amp;MH,TH))</f>
        <v>1917381</v>
      </c>
      <c r="I101" s="744">
        <f t="array" ref="I101">SUM(IF("155"&amp;C101=KHC&amp;MH,SL))</f>
        <v>300</v>
      </c>
      <c r="J101" s="744">
        <f t="array" ref="J101">SUM(IF("155"&amp;C101=KHC&amp;MH,TH))</f>
        <v>1917381</v>
      </c>
      <c r="K101" s="725">
        <f t="shared" si="18"/>
        <v>0</v>
      </c>
      <c r="L101" s="725">
        <f t="shared" si="19"/>
        <v>0</v>
      </c>
    </row>
    <row r="102" spans="1:12" s="751" customFormat="1" ht="19.5" customHeight="1">
      <c r="A102" s="453" t="str">
        <f t="shared" si="20"/>
        <v>TP</v>
      </c>
      <c r="B102" s="770">
        <f t="shared" si="21"/>
        <v>78</v>
      </c>
      <c r="C102" s="773" t="s">
        <v>802</v>
      </c>
      <c r="D102" s="772" t="s">
        <v>970</v>
      </c>
      <c r="E102" s="725"/>
      <c r="F102" s="725"/>
      <c r="G102" s="744">
        <f t="array" ref="G102">SUM(IF("155"&amp;C102=KHN&amp;MH,SL))</f>
        <v>943</v>
      </c>
      <c r="H102" s="744">
        <f t="array" ref="H102">SUM(IF("155"&amp;C102=KHN&amp;MH,TH))</f>
        <v>5094222</v>
      </c>
      <c r="I102" s="744">
        <f t="array" ref="I102">SUM(IF("155"&amp;C102=KHC&amp;MH,SL))</f>
        <v>943</v>
      </c>
      <c r="J102" s="744">
        <f t="array" ref="J102">SUM(IF("155"&amp;C102=KHC&amp;MH,TH))</f>
        <v>5094222</v>
      </c>
      <c r="K102" s="725">
        <f t="shared" si="18"/>
        <v>0</v>
      </c>
      <c r="L102" s="725">
        <f t="shared" si="19"/>
        <v>0</v>
      </c>
    </row>
    <row r="103" spans="1:12" s="751" customFormat="1" ht="19.5" customHeight="1">
      <c r="A103" s="453" t="str">
        <f t="shared" si="20"/>
        <v>TP</v>
      </c>
      <c r="B103" s="770">
        <f t="shared" si="21"/>
        <v>79</v>
      </c>
      <c r="C103" s="757" t="s">
        <v>672</v>
      </c>
      <c r="D103" s="772" t="s">
        <v>970</v>
      </c>
      <c r="E103" s="725"/>
      <c r="F103" s="725"/>
      <c r="G103" s="744">
        <f t="array" ref="G103">SUM(IF("155"&amp;C103=KHN&amp;MH,SL))</f>
        <v>2010</v>
      </c>
      <c r="H103" s="744">
        <f t="array" ref="H103">SUM(IF("155"&amp;C103=KHN&amp;MH,TH))</f>
        <v>18505005</v>
      </c>
      <c r="I103" s="744">
        <f t="array" ref="I103">SUM(IF("155"&amp;C103=KHC&amp;MH,SL))</f>
        <v>2010</v>
      </c>
      <c r="J103" s="744">
        <f t="array" ref="J103">SUM(IF("155"&amp;C103=KHC&amp;MH,TH))</f>
        <v>18505005</v>
      </c>
      <c r="K103" s="725">
        <f t="shared" si="18"/>
        <v>0</v>
      </c>
      <c r="L103" s="725">
        <f t="shared" si="19"/>
        <v>0</v>
      </c>
    </row>
    <row r="104" spans="1:12" s="751" customFormat="1" ht="19.5" customHeight="1">
      <c r="A104" s="453" t="str">
        <f t="shared" si="20"/>
        <v>TP</v>
      </c>
      <c r="B104" s="770">
        <f t="shared" si="21"/>
        <v>80</v>
      </c>
      <c r="C104" s="771" t="s">
        <v>901</v>
      </c>
      <c r="D104" s="772" t="s">
        <v>970</v>
      </c>
      <c r="E104" s="725"/>
      <c r="F104" s="725"/>
      <c r="G104" s="744">
        <f t="array" ref="G104">SUM(IF("155"&amp;C104=KHN&amp;MH,SL))</f>
        <v>110</v>
      </c>
      <c r="H104" s="744">
        <f t="array" ref="H104">SUM(IF("155"&amp;C104=KHN&amp;MH,TH))</f>
        <v>1037820</v>
      </c>
      <c r="I104" s="744">
        <f t="array" ref="I104">SUM(IF("155"&amp;C104=KHC&amp;MH,SL))</f>
        <v>110</v>
      </c>
      <c r="J104" s="744">
        <f t="array" ref="J104">SUM(IF("155"&amp;C104=KHC&amp;MH,TH))</f>
        <v>1037820</v>
      </c>
      <c r="K104" s="725">
        <f t="shared" si="18"/>
        <v>0</v>
      </c>
      <c r="L104" s="725">
        <f t="shared" si="19"/>
        <v>0</v>
      </c>
    </row>
    <row r="105" spans="1:12" s="751" customFormat="1" ht="19.5" customHeight="1">
      <c r="A105" s="453" t="str">
        <f t="shared" si="20"/>
        <v>TP</v>
      </c>
      <c r="B105" s="770">
        <f t="shared" si="21"/>
        <v>81</v>
      </c>
      <c r="C105" s="757" t="s">
        <v>511</v>
      </c>
      <c r="D105" s="772" t="s">
        <v>970</v>
      </c>
      <c r="E105" s="725"/>
      <c r="F105" s="725"/>
      <c r="G105" s="744">
        <f t="array" ref="G105">SUM(IF("155"&amp;C105=KHN&amp;MH,SL))</f>
        <v>350</v>
      </c>
      <c r="H105" s="744">
        <f t="array" ref="H105">SUM(IF("155"&amp;C105=KHN&amp;MH,TH))</f>
        <v>3173727</v>
      </c>
      <c r="I105" s="744">
        <f t="array" ref="I105">SUM(IF("155"&amp;C105=KHC&amp;MH,SL))</f>
        <v>350</v>
      </c>
      <c r="J105" s="744">
        <f t="array" ref="J105">SUM(IF("155"&amp;C105=KHC&amp;MH,TH))</f>
        <v>3173727</v>
      </c>
      <c r="K105" s="725">
        <f t="shared" si="18"/>
        <v>0</v>
      </c>
      <c r="L105" s="725">
        <f t="shared" si="19"/>
        <v>0</v>
      </c>
    </row>
    <row r="106" spans="1:12" s="751" customFormat="1" ht="19.5" customHeight="1">
      <c r="A106" s="453" t="str">
        <f t="shared" si="20"/>
        <v>TP</v>
      </c>
      <c r="B106" s="770">
        <f t="shared" si="21"/>
        <v>82</v>
      </c>
      <c r="C106" s="771" t="s">
        <v>499</v>
      </c>
      <c r="D106" s="772" t="s">
        <v>970</v>
      </c>
      <c r="E106" s="725"/>
      <c r="F106" s="725"/>
      <c r="G106" s="744">
        <f t="array" ref="G106">SUM(IF("155"&amp;C106=KHN&amp;MH,SL))</f>
        <v>785</v>
      </c>
      <c r="H106" s="744">
        <f t="array" ref="H106">SUM(IF("155"&amp;C106=KHN&amp;MH,TH))</f>
        <v>8063085</v>
      </c>
      <c r="I106" s="744">
        <f t="array" ref="I106">SUM(IF("155"&amp;C106=KHC&amp;MH,SL))</f>
        <v>785</v>
      </c>
      <c r="J106" s="744">
        <f t="array" ref="J106">SUM(IF("155"&amp;C106=KHC&amp;MH,TH))</f>
        <v>8063085</v>
      </c>
      <c r="K106" s="725">
        <f t="shared" si="18"/>
        <v>0</v>
      </c>
      <c r="L106" s="725">
        <f t="shared" si="19"/>
        <v>0</v>
      </c>
    </row>
    <row r="107" spans="1:12" s="751" customFormat="1" ht="19.5" customHeight="1">
      <c r="A107" s="453" t="str">
        <f t="shared" si="20"/>
        <v>TP</v>
      </c>
      <c r="B107" s="770">
        <f t="shared" si="21"/>
        <v>83</v>
      </c>
      <c r="C107" s="771" t="s">
        <v>905</v>
      </c>
      <c r="D107" s="772" t="s">
        <v>970</v>
      </c>
      <c r="E107" s="725"/>
      <c r="F107" s="725"/>
      <c r="G107" s="744">
        <f t="array" ref="G107">SUM(IF("155"&amp;C107=KHN&amp;MH,SL))</f>
        <v>66</v>
      </c>
      <c r="H107" s="744">
        <f t="array" ref="H107">SUM(IF("155"&amp;C107=KHN&amp;MH,TH))</f>
        <v>708061</v>
      </c>
      <c r="I107" s="744">
        <f t="array" ref="I107">SUM(IF("155"&amp;C107=KHC&amp;MH,SL))</f>
        <v>66</v>
      </c>
      <c r="J107" s="744">
        <f t="array" ref="J107">SUM(IF("155"&amp;C107=KHC&amp;MH,TH))</f>
        <v>708061</v>
      </c>
      <c r="K107" s="725">
        <f t="shared" si="18"/>
        <v>0</v>
      </c>
      <c r="L107" s="725">
        <f t="shared" si="19"/>
        <v>0</v>
      </c>
    </row>
    <row r="108" spans="1:12" s="751" customFormat="1" ht="19.5" customHeight="1">
      <c r="A108" s="453" t="str">
        <f t="shared" si="20"/>
        <v>TP</v>
      </c>
      <c r="B108" s="770">
        <f t="shared" si="21"/>
        <v>84</v>
      </c>
      <c r="C108" s="773" t="s">
        <v>900</v>
      </c>
      <c r="D108" s="772" t="s">
        <v>970</v>
      </c>
      <c r="E108" s="725"/>
      <c r="F108" s="725"/>
      <c r="G108" s="744">
        <f t="array" ref="G108">SUM(IF("155"&amp;C108=KHN&amp;MH,SL))</f>
        <v>285</v>
      </c>
      <c r="H108" s="744">
        <f t="array" ref="H108">SUM(IF("155"&amp;C108=KHN&amp;MH,TH))</f>
        <v>2819006</v>
      </c>
      <c r="I108" s="744">
        <f t="array" ref="I108">SUM(IF("155"&amp;C108=KHC&amp;MH,SL))</f>
        <v>285</v>
      </c>
      <c r="J108" s="744">
        <f t="array" ref="J108">SUM(IF("155"&amp;C108=KHC&amp;MH,TH))</f>
        <v>2819006</v>
      </c>
      <c r="K108" s="725">
        <f t="shared" si="18"/>
        <v>0</v>
      </c>
      <c r="L108" s="725">
        <f t="shared" si="19"/>
        <v>0</v>
      </c>
    </row>
    <row r="109" spans="1:12" s="751" customFormat="1" ht="19.5" customHeight="1">
      <c r="A109" s="453" t="str">
        <f t="shared" si="20"/>
        <v>TP</v>
      </c>
      <c r="B109" s="770">
        <f t="shared" si="21"/>
        <v>85</v>
      </c>
      <c r="C109" s="771" t="s">
        <v>676</v>
      </c>
      <c r="D109" s="772" t="s">
        <v>970</v>
      </c>
      <c r="E109" s="725"/>
      <c r="F109" s="725"/>
      <c r="G109" s="744">
        <f t="array" ref="G109">SUM(IF("155"&amp;C109=KHN&amp;MH,SL))</f>
        <v>7</v>
      </c>
      <c r="H109" s="744">
        <f t="array" ref="H109">SUM(IF("155"&amp;C109=KHN&amp;MH,TH))</f>
        <v>72967</v>
      </c>
      <c r="I109" s="744">
        <f t="array" ref="I109">SUM(IF("155"&amp;C109=KHC&amp;MH,SL))</f>
        <v>7</v>
      </c>
      <c r="J109" s="744">
        <f t="array" ref="J109">SUM(IF("155"&amp;C109=KHC&amp;MH,TH))</f>
        <v>72967</v>
      </c>
      <c r="K109" s="725">
        <f t="shared" si="18"/>
        <v>0</v>
      </c>
      <c r="L109" s="725">
        <f t="shared" si="19"/>
        <v>0</v>
      </c>
    </row>
    <row r="110" spans="1:12" s="751" customFormat="1" ht="19.5" customHeight="1">
      <c r="A110" s="453" t="str">
        <f t="shared" si="20"/>
        <v>TP</v>
      </c>
      <c r="B110" s="770">
        <f t="shared" si="21"/>
        <v>86</v>
      </c>
      <c r="C110" s="771" t="s">
        <v>509</v>
      </c>
      <c r="D110" s="772" t="s">
        <v>970</v>
      </c>
      <c r="E110" s="725"/>
      <c r="F110" s="725"/>
      <c r="G110" s="744">
        <f t="array" ref="G110">SUM(IF("155"&amp;C110=KHN&amp;MH,SL))</f>
        <v>627</v>
      </c>
      <c r="H110" s="744">
        <f t="array" ref="H110">SUM(IF("155"&amp;C110=KHN&amp;MH,TH))</f>
        <v>6659734</v>
      </c>
      <c r="I110" s="744">
        <f t="array" ref="I110">SUM(IF("155"&amp;C110=KHC&amp;MH,SL))</f>
        <v>627</v>
      </c>
      <c r="J110" s="744">
        <f t="array" ref="J110">SUM(IF("155"&amp;C110=KHC&amp;MH,TH))</f>
        <v>6659734</v>
      </c>
      <c r="K110" s="725">
        <f t="shared" si="18"/>
        <v>0</v>
      </c>
      <c r="L110" s="725">
        <f t="shared" si="19"/>
        <v>0</v>
      </c>
    </row>
    <row r="111" spans="1:12" s="751" customFormat="1" ht="19.5" customHeight="1">
      <c r="A111" s="453" t="str">
        <f t="shared" si="20"/>
        <v>TP</v>
      </c>
      <c r="B111" s="770">
        <f t="shared" si="21"/>
        <v>87</v>
      </c>
      <c r="C111" s="773" t="s">
        <v>803</v>
      </c>
      <c r="D111" s="772" t="s">
        <v>970</v>
      </c>
      <c r="E111" s="725"/>
      <c r="F111" s="725"/>
      <c r="G111" s="744">
        <f t="array" ref="G111">SUM(IF("155"&amp;C111=KHN&amp;MH,SL))</f>
        <v>270</v>
      </c>
      <c r="H111" s="744">
        <f t="array" ref="H111">SUM(IF("155"&amp;C111=KHN&amp;MH,TH))</f>
        <v>1766729</v>
      </c>
      <c r="I111" s="744">
        <f t="array" ref="I111">SUM(IF("155"&amp;C111=KHC&amp;MH,SL))</f>
        <v>270</v>
      </c>
      <c r="J111" s="744">
        <f t="array" ref="J111">SUM(IF("155"&amp;C111=KHC&amp;MH,TH))</f>
        <v>1766729</v>
      </c>
      <c r="K111" s="725">
        <f t="shared" si="18"/>
        <v>0</v>
      </c>
      <c r="L111" s="725">
        <f t="shared" si="19"/>
        <v>0</v>
      </c>
    </row>
    <row r="112" spans="1:12" s="751" customFormat="1" ht="19.5" customHeight="1">
      <c r="A112" s="453" t="str">
        <f t="shared" si="20"/>
        <v>TP</v>
      </c>
      <c r="B112" s="770">
        <f t="shared" si="21"/>
        <v>88</v>
      </c>
      <c r="C112" s="771" t="s">
        <v>513</v>
      </c>
      <c r="D112" s="772" t="s">
        <v>970</v>
      </c>
      <c r="E112" s="725"/>
      <c r="F112" s="725"/>
      <c r="G112" s="744">
        <f t="array" ref="G112">SUM(IF("155"&amp;C112=KHN&amp;MH,SL))</f>
        <v>1115</v>
      </c>
      <c r="H112" s="744">
        <f t="array" ref="H112">SUM(IF("155"&amp;C112=KHN&amp;MH,TH))</f>
        <v>8731871</v>
      </c>
      <c r="I112" s="744">
        <f t="array" ref="I112">SUM(IF("155"&amp;C112=KHC&amp;MH,SL))</f>
        <v>1115</v>
      </c>
      <c r="J112" s="744">
        <f t="array" ref="J112">SUM(IF("155"&amp;C112=KHC&amp;MH,TH))</f>
        <v>8731871</v>
      </c>
      <c r="K112" s="725">
        <f t="shared" si="18"/>
        <v>0</v>
      </c>
      <c r="L112" s="725">
        <f t="shared" si="19"/>
        <v>0</v>
      </c>
    </row>
    <row r="113" spans="1:12" s="751" customFormat="1" ht="19.5" customHeight="1">
      <c r="A113" s="453" t="str">
        <f t="shared" si="20"/>
        <v>TP</v>
      </c>
      <c r="B113" s="770">
        <f t="shared" si="21"/>
        <v>89</v>
      </c>
      <c r="C113" s="771" t="s">
        <v>521</v>
      </c>
      <c r="D113" s="772" t="s">
        <v>970</v>
      </c>
      <c r="E113" s="725"/>
      <c r="F113" s="725"/>
      <c r="G113" s="744">
        <f t="array" ref="G113">SUM(IF("155"&amp;C113=KHN&amp;MH,SL))</f>
        <v>427</v>
      </c>
      <c r="H113" s="744">
        <f t="array" ref="H113">SUM(IF("155"&amp;C113=KHN&amp;MH,TH))</f>
        <v>3379154</v>
      </c>
      <c r="I113" s="744">
        <f t="array" ref="I113">SUM(IF("155"&amp;C113=KHC&amp;MH,SL))</f>
        <v>427</v>
      </c>
      <c r="J113" s="744">
        <f t="array" ref="J113">SUM(IF("155"&amp;C113=KHC&amp;MH,TH))</f>
        <v>3379154</v>
      </c>
      <c r="K113" s="725">
        <f t="shared" si="18"/>
        <v>0</v>
      </c>
      <c r="L113" s="725">
        <f t="shared" si="19"/>
        <v>0</v>
      </c>
    </row>
    <row r="114" spans="1:12" s="751" customFormat="1" ht="19.5" customHeight="1">
      <c r="A114" s="453" t="str">
        <f t="shared" si="20"/>
        <v>TP</v>
      </c>
      <c r="B114" s="770">
        <f t="shared" si="21"/>
        <v>90</v>
      </c>
      <c r="C114" s="771" t="s">
        <v>514</v>
      </c>
      <c r="D114" s="772" t="s">
        <v>970</v>
      </c>
      <c r="E114" s="725"/>
      <c r="F114" s="725"/>
      <c r="G114" s="744">
        <f t="array" ref="G114">SUM(IF("155"&amp;C114=KHN&amp;MH,SL))</f>
        <v>527</v>
      </c>
      <c r="H114" s="744">
        <f t="array" ref="H114">SUM(IF("155"&amp;C114=KHN&amp;MH,TH))</f>
        <v>4213968</v>
      </c>
      <c r="I114" s="744">
        <f t="array" ref="I114">SUM(IF("155"&amp;C114=KHC&amp;MH,SL))</f>
        <v>527</v>
      </c>
      <c r="J114" s="744">
        <f t="array" ref="J114">SUM(IF("155"&amp;C114=KHC&amp;MH,TH))</f>
        <v>4213968</v>
      </c>
      <c r="K114" s="725">
        <f t="shared" si="18"/>
        <v>0</v>
      </c>
      <c r="L114" s="725">
        <f t="shared" si="19"/>
        <v>0</v>
      </c>
    </row>
    <row r="115" spans="1:12" s="751" customFormat="1" ht="19.5" customHeight="1">
      <c r="A115" s="453" t="str">
        <f t="shared" si="20"/>
        <v>TP</v>
      </c>
      <c r="B115" s="770">
        <f t="shared" si="21"/>
        <v>91</v>
      </c>
      <c r="C115" s="771" t="s">
        <v>546</v>
      </c>
      <c r="D115" s="772" t="s">
        <v>970</v>
      </c>
      <c r="E115" s="725"/>
      <c r="F115" s="725"/>
      <c r="G115" s="744">
        <f t="array" ref="G115">SUM(IF("155"&amp;C115=KHN&amp;MH,SL))</f>
        <v>316</v>
      </c>
      <c r="H115" s="744">
        <f t="array" ref="H115">SUM(IF("155"&amp;C115=KHN&amp;MH,TH))</f>
        <v>2344436</v>
      </c>
      <c r="I115" s="744">
        <f t="array" ref="I115">SUM(IF("155"&amp;C115=KHC&amp;MH,SL))</f>
        <v>316</v>
      </c>
      <c r="J115" s="744">
        <f t="array" ref="J115">SUM(IF("155"&amp;C115=KHC&amp;MH,TH))</f>
        <v>2344436</v>
      </c>
      <c r="K115" s="725">
        <f t="shared" si="18"/>
        <v>0</v>
      </c>
      <c r="L115" s="725">
        <f t="shared" si="19"/>
        <v>0</v>
      </c>
    </row>
    <row r="116" spans="1:12" s="751" customFormat="1" ht="19.5" customHeight="1">
      <c r="A116" s="453" t="str">
        <f t="shared" si="20"/>
        <v>TP</v>
      </c>
      <c r="B116" s="770">
        <f t="shared" si="21"/>
        <v>92</v>
      </c>
      <c r="C116" s="771" t="s">
        <v>811</v>
      </c>
      <c r="D116" s="772" t="s">
        <v>970</v>
      </c>
      <c r="E116" s="725"/>
      <c r="F116" s="725"/>
      <c r="G116" s="744">
        <f t="array" ref="G116">SUM(IF("155"&amp;C116=KHN&amp;MH,SL))</f>
        <v>66913</v>
      </c>
      <c r="H116" s="744">
        <f t="array" ref="H116">SUM(IF("155"&amp;C116=KHN&amp;MH,TH))</f>
        <v>427658961</v>
      </c>
      <c r="I116" s="744">
        <f t="array" ref="I116">SUM(IF("155"&amp;C116=KHC&amp;MH,SL))</f>
        <v>66913</v>
      </c>
      <c r="J116" s="744">
        <f t="array" ref="J116">SUM(IF("155"&amp;C116=KHC&amp;MH,TH))</f>
        <v>427658961</v>
      </c>
      <c r="K116" s="725">
        <f t="shared" si="18"/>
        <v>0</v>
      </c>
      <c r="L116" s="725">
        <f t="shared" si="19"/>
        <v>0</v>
      </c>
    </row>
    <row r="117" spans="1:12" s="751" customFormat="1" ht="18.75" customHeight="1">
      <c r="A117" s="453" t="str">
        <f t="shared" si="20"/>
        <v>TP</v>
      </c>
      <c r="B117" s="770">
        <f t="shared" si="21"/>
        <v>93</v>
      </c>
      <c r="C117" s="773" t="s">
        <v>516</v>
      </c>
      <c r="D117" s="772" t="s">
        <v>970</v>
      </c>
      <c r="E117" s="725"/>
      <c r="F117" s="725"/>
      <c r="G117" s="744">
        <f t="array" ref="G117">SUM(IF("155"&amp;C117=KHN&amp;MH,SL))</f>
        <v>404</v>
      </c>
      <c r="H117" s="744">
        <f t="array" ref="H117">SUM(IF("155"&amp;C117=KHN&amp;MH,TH))</f>
        <v>3630084</v>
      </c>
      <c r="I117" s="744">
        <f t="array" ref="I117">SUM(IF("155"&amp;C117=KHC&amp;MH,SL))</f>
        <v>404</v>
      </c>
      <c r="J117" s="744">
        <f t="array" ref="J117">SUM(IF("155"&amp;C117=KHC&amp;MH,TH))</f>
        <v>3630084</v>
      </c>
      <c r="K117" s="725">
        <f t="shared" si="18"/>
        <v>0</v>
      </c>
      <c r="L117" s="725">
        <f t="shared" si="19"/>
        <v>0</v>
      </c>
    </row>
    <row r="118" spans="1:12" s="751" customFormat="1" ht="18.75" customHeight="1">
      <c r="A118" s="453" t="str">
        <f t="shared" si="20"/>
        <v>TP</v>
      </c>
      <c r="B118" s="770">
        <f t="shared" si="21"/>
        <v>94</v>
      </c>
      <c r="C118" s="773" t="s">
        <v>831</v>
      </c>
      <c r="D118" s="772" t="s">
        <v>970</v>
      </c>
      <c r="E118" s="725"/>
      <c r="F118" s="725"/>
      <c r="G118" s="744">
        <f t="array" ref="G118">SUM(IF("155"&amp;C118=KHN&amp;MH,SL))</f>
        <v>400</v>
      </c>
      <c r="H118" s="744">
        <f t="array" ref="H118">SUM(IF("155"&amp;C118=KHN&amp;MH,TH))</f>
        <v>3713023</v>
      </c>
      <c r="I118" s="744">
        <f t="array" ref="I118">SUM(IF("155"&amp;C118=KHC&amp;MH,SL))</f>
        <v>400</v>
      </c>
      <c r="J118" s="744">
        <f t="array" ref="J118">SUM(IF("155"&amp;C118=KHC&amp;MH,TH))</f>
        <v>3713023</v>
      </c>
      <c r="K118" s="725">
        <f t="shared" si="18"/>
        <v>0</v>
      </c>
      <c r="L118" s="725">
        <f t="shared" si="19"/>
        <v>0</v>
      </c>
    </row>
    <row r="119" spans="1:12" s="751" customFormat="1" ht="18.75" customHeight="1">
      <c r="A119" s="453" t="str">
        <f t="shared" si="20"/>
        <v>TP</v>
      </c>
      <c r="B119" s="770">
        <f t="shared" si="21"/>
        <v>95</v>
      </c>
      <c r="C119" s="771" t="s">
        <v>682</v>
      </c>
      <c r="D119" s="772" t="s">
        <v>970</v>
      </c>
      <c r="E119" s="725"/>
      <c r="F119" s="725"/>
      <c r="G119" s="744">
        <f t="array" ref="G119">SUM(IF("155"&amp;C119=KHN&amp;MH,SL))</f>
        <v>608</v>
      </c>
      <c r="H119" s="744">
        <f t="array" ref="H119">SUM(IF("155"&amp;C119=KHN&amp;MH,TH))</f>
        <v>6985352</v>
      </c>
      <c r="I119" s="744">
        <f t="array" ref="I119">SUM(IF("155"&amp;C119=KHC&amp;MH,SL))</f>
        <v>608</v>
      </c>
      <c r="J119" s="744">
        <f t="array" ref="J119">SUM(IF("155"&amp;C119=KHC&amp;MH,TH))</f>
        <v>6985352</v>
      </c>
      <c r="K119" s="725">
        <f t="shared" si="18"/>
        <v>0</v>
      </c>
      <c r="L119" s="725">
        <f t="shared" si="19"/>
        <v>0</v>
      </c>
    </row>
    <row r="120" spans="1:12" s="751" customFormat="1" ht="18.75" customHeight="1">
      <c r="A120" s="453" t="str">
        <f t="shared" si="20"/>
        <v>TP</v>
      </c>
      <c r="B120" s="770">
        <f t="shared" si="21"/>
        <v>96</v>
      </c>
      <c r="C120" s="771" t="s">
        <v>532</v>
      </c>
      <c r="D120" s="772" t="s">
        <v>970</v>
      </c>
      <c r="E120" s="725"/>
      <c r="F120" s="725"/>
      <c r="G120" s="744">
        <f t="array" ref="G120">SUM(IF("155"&amp;C120=KHN&amp;MH,SL))</f>
        <v>120</v>
      </c>
      <c r="H120" s="744">
        <f t="array" ref="H120">SUM(IF("155"&amp;C120=KHN&amp;MH,TH))</f>
        <v>1513497</v>
      </c>
      <c r="I120" s="744">
        <f t="array" ref="I120">SUM(IF("155"&amp;C120=KHC&amp;MH,SL))</f>
        <v>120</v>
      </c>
      <c r="J120" s="744">
        <f t="array" ref="J120">SUM(IF("155"&amp;C120=KHC&amp;MH,TH))</f>
        <v>1513497</v>
      </c>
      <c r="K120" s="725">
        <f t="shared" si="18"/>
        <v>0</v>
      </c>
      <c r="L120" s="725">
        <f t="shared" si="19"/>
        <v>0</v>
      </c>
    </row>
    <row r="121" spans="1:12" s="751" customFormat="1" ht="18.75" customHeight="1">
      <c r="A121" s="453" t="str">
        <f t="shared" si="20"/>
        <v>TP</v>
      </c>
      <c r="B121" s="770">
        <f t="shared" si="21"/>
        <v>97</v>
      </c>
      <c r="C121" s="757" t="s">
        <v>959</v>
      </c>
      <c r="D121" s="772" t="s">
        <v>970</v>
      </c>
      <c r="E121" s="725"/>
      <c r="F121" s="725"/>
      <c r="G121" s="744">
        <f t="array" ref="G121">SUM(IF("155"&amp;C121=KHN&amp;MH,SL))</f>
        <v>188</v>
      </c>
      <c r="H121" s="744">
        <f t="array" ref="H121">SUM(IF("155"&amp;C121=KHN&amp;MH,TH))</f>
        <v>1730816</v>
      </c>
      <c r="I121" s="744">
        <f t="array" ref="I121">SUM(IF("155"&amp;C121=KHC&amp;MH,SL))</f>
        <v>188</v>
      </c>
      <c r="J121" s="744">
        <f t="array" ref="J121">SUM(IF("155"&amp;C121=KHC&amp;MH,TH))</f>
        <v>1730816</v>
      </c>
      <c r="K121" s="725">
        <f t="shared" ref="K121:K152" si="22">E121+G121-I121</f>
        <v>0</v>
      </c>
      <c r="L121" s="725">
        <f t="shared" ref="L121:L152" si="23">F121+H121-J121</f>
        <v>0</v>
      </c>
    </row>
    <row r="122" spans="1:12" s="751" customFormat="1" ht="18.75" customHeight="1">
      <c r="A122" s="453" t="str">
        <f t="shared" si="20"/>
        <v>TP</v>
      </c>
      <c r="B122" s="770">
        <f t="shared" si="21"/>
        <v>98</v>
      </c>
      <c r="C122" s="771" t="s">
        <v>534</v>
      </c>
      <c r="D122" s="772" t="s">
        <v>970</v>
      </c>
      <c r="E122" s="725"/>
      <c r="F122" s="725"/>
      <c r="G122" s="744">
        <f t="array" ref="G122">SUM(IF("155"&amp;C122=KHN&amp;MH,SL))</f>
        <v>1000</v>
      </c>
      <c r="H122" s="744">
        <f t="array" ref="H122">SUM(IF("155"&amp;C122=KHN&amp;MH,TH))</f>
        <v>5935282</v>
      </c>
      <c r="I122" s="744">
        <f t="array" ref="I122">SUM(IF("155"&amp;C122=KHC&amp;MH,SL))</f>
        <v>1000</v>
      </c>
      <c r="J122" s="744">
        <f t="array" ref="J122">SUM(IF("155"&amp;C122=KHC&amp;MH,TH))</f>
        <v>5935282</v>
      </c>
      <c r="K122" s="725">
        <f t="shared" si="22"/>
        <v>0</v>
      </c>
      <c r="L122" s="725">
        <f t="shared" si="23"/>
        <v>0</v>
      </c>
    </row>
    <row r="123" spans="1:12" s="751" customFormat="1" ht="18.75" customHeight="1">
      <c r="A123" s="453" t="str">
        <f t="shared" si="20"/>
        <v>TP</v>
      </c>
      <c r="B123" s="770">
        <f t="shared" si="21"/>
        <v>99</v>
      </c>
      <c r="C123" s="757" t="s">
        <v>918</v>
      </c>
      <c r="D123" s="772" t="s">
        <v>970</v>
      </c>
      <c r="E123" s="725"/>
      <c r="F123" s="725"/>
      <c r="G123" s="744">
        <f t="array" ref="G123">SUM(IF("155"&amp;C123=KHN&amp;MH,SL))</f>
        <v>1070</v>
      </c>
      <c r="H123" s="744">
        <f t="array" ref="H123">SUM(IF("155"&amp;C123=KHN&amp;MH,TH))</f>
        <v>7815608</v>
      </c>
      <c r="I123" s="744">
        <f t="array" ref="I123">SUM(IF("155"&amp;C123=KHC&amp;MH,SL))</f>
        <v>1070</v>
      </c>
      <c r="J123" s="744">
        <f t="array" ref="J123">SUM(IF("155"&amp;C123=KHC&amp;MH,TH))</f>
        <v>7815608</v>
      </c>
      <c r="K123" s="725">
        <f t="shared" si="22"/>
        <v>0</v>
      </c>
      <c r="L123" s="725">
        <f t="shared" si="23"/>
        <v>0</v>
      </c>
    </row>
    <row r="124" spans="1:12" s="751" customFormat="1" ht="18.75" customHeight="1">
      <c r="A124" s="453" t="str">
        <f t="shared" si="20"/>
        <v>TP</v>
      </c>
      <c r="B124" s="770">
        <f t="shared" si="21"/>
        <v>100</v>
      </c>
      <c r="C124" s="771" t="s">
        <v>518</v>
      </c>
      <c r="D124" s="772" t="s">
        <v>970</v>
      </c>
      <c r="E124" s="725"/>
      <c r="F124" s="725"/>
      <c r="G124" s="744">
        <f t="array" ref="G124">SUM(IF("155"&amp;C124=KHN&amp;MH,SL))</f>
        <v>4294</v>
      </c>
      <c r="H124" s="744">
        <f t="array" ref="H124">SUM(IF("155"&amp;C124=KHN&amp;MH,TH))</f>
        <v>28859266</v>
      </c>
      <c r="I124" s="744">
        <f t="array" ref="I124">SUM(IF("155"&amp;C124=KHC&amp;MH,SL))</f>
        <v>4294</v>
      </c>
      <c r="J124" s="744">
        <f t="array" ref="J124">SUM(IF("155"&amp;C124=KHC&amp;MH,TH))</f>
        <v>28859266</v>
      </c>
      <c r="K124" s="725">
        <f t="shared" si="22"/>
        <v>0</v>
      </c>
      <c r="L124" s="725">
        <f t="shared" si="23"/>
        <v>0</v>
      </c>
    </row>
    <row r="125" spans="1:12" s="751" customFormat="1" ht="18.75" customHeight="1">
      <c r="A125" s="453" t="str">
        <f t="shared" si="20"/>
        <v>TP</v>
      </c>
      <c r="B125" s="770">
        <f t="shared" si="21"/>
        <v>101</v>
      </c>
      <c r="C125" s="771" t="s">
        <v>525</v>
      </c>
      <c r="D125" s="772" t="s">
        <v>970</v>
      </c>
      <c r="E125" s="725"/>
      <c r="F125" s="725"/>
      <c r="G125" s="744">
        <f t="array" ref="G125">SUM(IF("155"&amp;C125=KHN&amp;MH,SL))</f>
        <v>429</v>
      </c>
      <c r="H125" s="744">
        <f t="array" ref="H125">SUM(IF("155"&amp;C125=KHN&amp;MH,TH))</f>
        <v>2829151</v>
      </c>
      <c r="I125" s="744">
        <f t="array" ref="I125">SUM(IF("155"&amp;C125=KHC&amp;MH,SL))</f>
        <v>429</v>
      </c>
      <c r="J125" s="744">
        <f t="array" ref="J125">SUM(IF("155"&amp;C125=KHC&amp;MH,TH))</f>
        <v>2829151</v>
      </c>
      <c r="K125" s="725">
        <f t="shared" si="22"/>
        <v>0</v>
      </c>
      <c r="L125" s="725">
        <f t="shared" si="23"/>
        <v>0</v>
      </c>
    </row>
    <row r="126" spans="1:12" s="751" customFormat="1" ht="18.75" customHeight="1">
      <c r="A126" s="453" t="str">
        <f t="shared" si="20"/>
        <v>TP</v>
      </c>
      <c r="B126" s="770">
        <f t="shared" si="21"/>
        <v>102</v>
      </c>
      <c r="C126" s="757" t="s">
        <v>690</v>
      </c>
      <c r="D126" s="772" t="s">
        <v>970</v>
      </c>
      <c r="E126" s="725"/>
      <c r="F126" s="725"/>
      <c r="G126" s="744">
        <f t="array" ref="G126">SUM(IF("155"&amp;C126=KHN&amp;MH,SL))</f>
        <v>318</v>
      </c>
      <c r="H126" s="744">
        <f t="array" ref="H126">SUM(IF("155"&amp;C126=KHN&amp;MH,TH))</f>
        <v>2032423</v>
      </c>
      <c r="I126" s="744">
        <f t="array" ref="I126">SUM(IF("155"&amp;C126=KHC&amp;MH,SL))</f>
        <v>318</v>
      </c>
      <c r="J126" s="744">
        <f t="array" ref="J126">SUM(IF("155"&amp;C126=KHC&amp;MH,TH))</f>
        <v>2032423</v>
      </c>
      <c r="K126" s="725">
        <f t="shared" si="22"/>
        <v>0</v>
      </c>
      <c r="L126" s="725">
        <f t="shared" si="23"/>
        <v>0</v>
      </c>
    </row>
    <row r="127" spans="1:12" s="751" customFormat="1" ht="18.75" customHeight="1">
      <c r="A127" s="453" t="str">
        <f t="shared" si="20"/>
        <v>TP</v>
      </c>
      <c r="B127" s="770">
        <f t="shared" si="21"/>
        <v>103</v>
      </c>
      <c r="C127" s="771" t="s">
        <v>544</v>
      </c>
      <c r="D127" s="772" t="s">
        <v>970</v>
      </c>
      <c r="E127" s="725"/>
      <c r="F127" s="725"/>
      <c r="G127" s="744">
        <f t="array" ref="G127">SUM(IF("155"&amp;C127=KHN&amp;MH,SL))</f>
        <v>1230</v>
      </c>
      <c r="H127" s="744">
        <f t="array" ref="H127">SUM(IF("155"&amp;C127=KHN&amp;MH,TH))</f>
        <v>9226890</v>
      </c>
      <c r="I127" s="744">
        <f t="array" ref="I127">SUM(IF("155"&amp;C127=KHC&amp;MH,SL))</f>
        <v>1230</v>
      </c>
      <c r="J127" s="744">
        <f t="array" ref="J127">SUM(IF("155"&amp;C127=KHC&amp;MH,TH))</f>
        <v>9226890</v>
      </c>
      <c r="K127" s="725">
        <f t="shared" si="22"/>
        <v>0</v>
      </c>
      <c r="L127" s="725">
        <f t="shared" si="23"/>
        <v>0</v>
      </c>
    </row>
    <row r="128" spans="1:12" s="751" customFormat="1" ht="18.75" customHeight="1">
      <c r="A128" s="453" t="str">
        <f t="shared" si="20"/>
        <v>TP</v>
      </c>
      <c r="B128" s="770">
        <f t="shared" si="21"/>
        <v>104</v>
      </c>
      <c r="C128" s="771" t="s">
        <v>526</v>
      </c>
      <c r="D128" s="772" t="s">
        <v>970</v>
      </c>
      <c r="E128" s="725"/>
      <c r="F128" s="725"/>
      <c r="G128" s="744">
        <f t="array" ref="G128">SUM(IF("155"&amp;C128=KHN&amp;MH,SL))</f>
        <v>370</v>
      </c>
      <c r="H128" s="744">
        <f t="array" ref="H128">SUM(IF("155"&amp;C128=KHN&amp;MH,TH))</f>
        <v>2836570</v>
      </c>
      <c r="I128" s="744">
        <f t="array" ref="I128">SUM(IF("155"&amp;C128=KHC&amp;MH,SL))</f>
        <v>370</v>
      </c>
      <c r="J128" s="744">
        <f t="array" ref="J128">SUM(IF("155"&amp;C128=KHC&amp;MH,TH))</f>
        <v>2836570</v>
      </c>
      <c r="K128" s="725">
        <f t="shared" si="22"/>
        <v>0</v>
      </c>
      <c r="L128" s="725">
        <f t="shared" si="23"/>
        <v>0</v>
      </c>
    </row>
    <row r="129" spans="1:12" s="751" customFormat="1" ht="18.75" customHeight="1">
      <c r="A129" s="453" t="str">
        <f t="shared" si="20"/>
        <v>TP</v>
      </c>
      <c r="B129" s="770">
        <f t="shared" si="21"/>
        <v>105</v>
      </c>
      <c r="C129" s="771" t="s">
        <v>538</v>
      </c>
      <c r="D129" s="772" t="s">
        <v>970</v>
      </c>
      <c r="E129" s="725"/>
      <c r="F129" s="725"/>
      <c r="G129" s="744">
        <f t="array" ref="G129">SUM(IF("155"&amp;C129=KHN&amp;MH,SL))</f>
        <v>1024</v>
      </c>
      <c r="H129" s="744">
        <f t="array" ref="H129">SUM(IF("155"&amp;C129=KHN&amp;MH,TH))</f>
        <v>7867861</v>
      </c>
      <c r="I129" s="744">
        <f t="array" ref="I129">SUM(IF("155"&amp;C129=KHC&amp;MH,SL))</f>
        <v>1024</v>
      </c>
      <c r="J129" s="744">
        <f t="array" ref="J129">SUM(IF("155"&amp;C129=KHC&amp;MH,TH))</f>
        <v>7867861</v>
      </c>
      <c r="K129" s="725">
        <f t="shared" si="22"/>
        <v>0</v>
      </c>
      <c r="L129" s="725">
        <f t="shared" si="23"/>
        <v>0</v>
      </c>
    </row>
    <row r="130" spans="1:12" s="751" customFormat="1" ht="18.75" customHeight="1">
      <c r="A130" s="453" t="str">
        <f t="shared" si="20"/>
        <v>TP</v>
      </c>
      <c r="B130" s="770">
        <f t="shared" si="21"/>
        <v>106</v>
      </c>
      <c r="C130" s="771" t="s">
        <v>545</v>
      </c>
      <c r="D130" s="772" t="s">
        <v>970</v>
      </c>
      <c r="E130" s="725"/>
      <c r="F130" s="725"/>
      <c r="G130" s="744">
        <f t="array" ref="G130">SUM(IF("155"&amp;C130=KHN&amp;MH,SL))</f>
        <v>304</v>
      </c>
      <c r="H130" s="744">
        <f t="array" ref="H130">SUM(IF("155"&amp;C130=KHN&amp;MH,TH))</f>
        <v>2029866</v>
      </c>
      <c r="I130" s="744">
        <f t="array" ref="I130">SUM(IF("155"&amp;C130=KHC&amp;MH,SL))</f>
        <v>304</v>
      </c>
      <c r="J130" s="744">
        <f t="array" ref="J130">SUM(IF("155"&amp;C130=KHC&amp;MH,TH))</f>
        <v>2029866</v>
      </c>
      <c r="K130" s="725">
        <f t="shared" si="22"/>
        <v>0</v>
      </c>
      <c r="L130" s="725">
        <f t="shared" si="23"/>
        <v>0</v>
      </c>
    </row>
    <row r="131" spans="1:12" s="751" customFormat="1" ht="18.75" customHeight="1">
      <c r="A131" s="453" t="str">
        <f t="shared" si="20"/>
        <v>TP</v>
      </c>
      <c r="B131" s="770">
        <f t="shared" si="21"/>
        <v>107</v>
      </c>
      <c r="C131" s="771" t="s">
        <v>666</v>
      </c>
      <c r="D131" s="772" t="s">
        <v>970</v>
      </c>
      <c r="E131" s="725"/>
      <c r="F131" s="725"/>
      <c r="G131" s="744">
        <f t="array" ref="G131">SUM(IF("155"&amp;C131=KHN&amp;MH,SL))</f>
        <v>36</v>
      </c>
      <c r="H131" s="744">
        <f t="array" ref="H131">SUM(IF("155"&amp;C131=KHN&amp;MH,TH))</f>
        <v>372520</v>
      </c>
      <c r="I131" s="744">
        <f t="array" ref="I131">SUM(IF("155"&amp;C131=KHC&amp;MH,SL))</f>
        <v>36</v>
      </c>
      <c r="J131" s="744">
        <f t="array" ref="J131">SUM(IF("155"&amp;C131=KHC&amp;MH,TH))</f>
        <v>372520</v>
      </c>
      <c r="K131" s="725">
        <f t="shared" si="22"/>
        <v>0</v>
      </c>
      <c r="L131" s="725">
        <f t="shared" si="23"/>
        <v>0</v>
      </c>
    </row>
    <row r="132" spans="1:12" s="751" customFormat="1" ht="18.75" customHeight="1">
      <c r="A132" s="453" t="str">
        <f t="shared" si="20"/>
        <v>TP</v>
      </c>
      <c r="B132" s="770">
        <f t="shared" si="21"/>
        <v>108</v>
      </c>
      <c r="C132" s="771" t="s">
        <v>673</v>
      </c>
      <c r="D132" s="772" t="s">
        <v>970</v>
      </c>
      <c r="E132" s="725"/>
      <c r="F132" s="725"/>
      <c r="G132" s="744">
        <f t="array" ref="G132">SUM(IF("155"&amp;C132=KHN&amp;MH,SL))</f>
        <v>160</v>
      </c>
      <c r="H132" s="744">
        <f t="array" ref="H132">SUM(IF("155"&amp;C132=KHN&amp;MH,TH))</f>
        <v>2130423</v>
      </c>
      <c r="I132" s="744">
        <f t="array" ref="I132">SUM(IF("155"&amp;C132=KHC&amp;MH,SL))</f>
        <v>160</v>
      </c>
      <c r="J132" s="744">
        <f t="array" ref="J132">SUM(IF("155"&amp;C132=KHC&amp;MH,TH))</f>
        <v>2130423</v>
      </c>
      <c r="K132" s="725">
        <f t="shared" si="22"/>
        <v>0</v>
      </c>
      <c r="L132" s="725">
        <f t="shared" si="23"/>
        <v>0</v>
      </c>
    </row>
    <row r="133" spans="1:12" s="751" customFormat="1" ht="18.75" customHeight="1">
      <c r="A133" s="453" t="str">
        <f t="shared" si="20"/>
        <v>TP</v>
      </c>
      <c r="B133" s="770">
        <f t="shared" si="21"/>
        <v>109</v>
      </c>
      <c r="C133" s="757" t="s">
        <v>535</v>
      </c>
      <c r="D133" s="772" t="s">
        <v>970</v>
      </c>
      <c r="E133" s="725"/>
      <c r="F133" s="725"/>
      <c r="G133" s="744">
        <f t="array" ref="G133">SUM(IF("155"&amp;C133=KHN&amp;MH,SL))</f>
        <v>970</v>
      </c>
      <c r="H133" s="744">
        <f t="array" ref="H133">SUM(IF("155"&amp;C133=KHN&amp;MH,TH))</f>
        <v>5997108</v>
      </c>
      <c r="I133" s="744">
        <f t="array" ref="I133">SUM(IF("155"&amp;C133=KHC&amp;MH,SL))</f>
        <v>970</v>
      </c>
      <c r="J133" s="744">
        <f t="array" ref="J133">SUM(IF("155"&amp;C133=KHC&amp;MH,TH))</f>
        <v>5997108</v>
      </c>
      <c r="K133" s="725">
        <f t="shared" si="22"/>
        <v>0</v>
      </c>
      <c r="L133" s="725">
        <f t="shared" si="23"/>
        <v>0</v>
      </c>
    </row>
    <row r="134" spans="1:12" s="751" customFormat="1" ht="18.75" customHeight="1">
      <c r="A134" s="453" t="str">
        <f t="shared" si="20"/>
        <v>TP</v>
      </c>
      <c r="B134" s="770">
        <f t="shared" si="21"/>
        <v>110</v>
      </c>
      <c r="C134" s="773" t="s">
        <v>651</v>
      </c>
      <c r="D134" s="772" t="s">
        <v>970</v>
      </c>
      <c r="E134" s="725"/>
      <c r="F134" s="725"/>
      <c r="G134" s="744">
        <f t="array" ref="G134">SUM(IF("155"&amp;C134=KHN&amp;MH,SL))</f>
        <v>1215</v>
      </c>
      <c r="H134" s="744">
        <f t="array" ref="H134">SUM(IF("155"&amp;C134=KHN&amp;MH,TH))</f>
        <v>14422735</v>
      </c>
      <c r="I134" s="744">
        <f t="array" ref="I134">SUM(IF("155"&amp;C134=KHC&amp;MH,SL))</f>
        <v>1215</v>
      </c>
      <c r="J134" s="744">
        <f t="array" ref="J134">SUM(IF("155"&amp;C134=KHC&amp;MH,TH))</f>
        <v>14422735</v>
      </c>
      <c r="K134" s="725">
        <f t="shared" si="22"/>
        <v>0</v>
      </c>
      <c r="L134" s="725">
        <f t="shared" si="23"/>
        <v>0</v>
      </c>
    </row>
    <row r="135" spans="1:12" s="751" customFormat="1" ht="18.75" customHeight="1">
      <c r="A135" s="453" t="str">
        <f t="shared" si="20"/>
        <v>TP</v>
      </c>
      <c r="B135" s="770">
        <f t="shared" si="21"/>
        <v>111</v>
      </c>
      <c r="C135" s="771" t="s">
        <v>904</v>
      </c>
      <c r="D135" s="772" t="s">
        <v>970</v>
      </c>
      <c r="E135" s="725"/>
      <c r="F135" s="725"/>
      <c r="G135" s="744">
        <f t="array" ref="G135">SUM(IF("155"&amp;C135=KHN&amp;MH,SL))</f>
        <v>275</v>
      </c>
      <c r="H135" s="744">
        <f t="array" ref="H135">SUM(IF("155"&amp;C135=KHN&amp;MH,TH))</f>
        <v>3473350</v>
      </c>
      <c r="I135" s="744">
        <f t="array" ref="I135">SUM(IF("155"&amp;C135=KHC&amp;MH,SL))</f>
        <v>275</v>
      </c>
      <c r="J135" s="744">
        <f t="array" ref="J135">SUM(IF("155"&amp;C135=KHC&amp;MH,TH))</f>
        <v>3473350</v>
      </c>
      <c r="K135" s="725">
        <f t="shared" si="22"/>
        <v>0</v>
      </c>
      <c r="L135" s="725">
        <f t="shared" si="23"/>
        <v>0</v>
      </c>
    </row>
    <row r="136" spans="1:12" s="751" customFormat="1" ht="18.75" customHeight="1">
      <c r="A136" s="453" t="str">
        <f t="shared" si="20"/>
        <v>TP</v>
      </c>
      <c r="B136" s="770">
        <f t="shared" si="21"/>
        <v>112</v>
      </c>
      <c r="C136" s="773" t="s">
        <v>825</v>
      </c>
      <c r="D136" s="772" t="s">
        <v>970</v>
      </c>
      <c r="E136" s="725"/>
      <c r="F136" s="725"/>
      <c r="G136" s="744">
        <f t="array" ref="G136">SUM(IF("155"&amp;C136=KHN&amp;MH,SL))</f>
        <v>6154</v>
      </c>
      <c r="H136" s="744">
        <f t="array" ref="H136">SUM(IF("155"&amp;C136=KHN&amp;MH,TH))</f>
        <v>45887178</v>
      </c>
      <c r="I136" s="744">
        <f t="array" ref="I136">SUM(IF("155"&amp;C136=KHC&amp;MH,SL))</f>
        <v>6154</v>
      </c>
      <c r="J136" s="744">
        <f t="array" ref="J136">SUM(IF("155"&amp;C136=KHC&amp;MH,TH))</f>
        <v>45887178</v>
      </c>
      <c r="K136" s="725">
        <f t="shared" si="22"/>
        <v>0</v>
      </c>
      <c r="L136" s="725">
        <f t="shared" si="23"/>
        <v>0</v>
      </c>
    </row>
    <row r="137" spans="1:12" s="751" customFormat="1" ht="18.75" customHeight="1">
      <c r="A137" s="453" t="str">
        <f t="shared" si="20"/>
        <v>TP</v>
      </c>
      <c r="B137" s="770">
        <f t="shared" si="21"/>
        <v>113</v>
      </c>
      <c r="C137" s="771" t="s">
        <v>915</v>
      </c>
      <c r="D137" s="772" t="s">
        <v>970</v>
      </c>
      <c r="E137" s="725"/>
      <c r="F137" s="725"/>
      <c r="G137" s="744">
        <f t="array" ref="G137">SUM(IF("155"&amp;C137=KHN&amp;MH,SL))</f>
        <v>1006</v>
      </c>
      <c r="H137" s="744">
        <f t="array" ref="H137">SUM(IF("155"&amp;C137=KHN&amp;MH,TH))</f>
        <v>7501219</v>
      </c>
      <c r="I137" s="744">
        <f t="array" ref="I137">SUM(IF("155"&amp;C137=KHC&amp;MH,SL))</f>
        <v>1006</v>
      </c>
      <c r="J137" s="744">
        <f t="array" ref="J137">SUM(IF("155"&amp;C137=KHC&amp;MH,TH))</f>
        <v>7501219</v>
      </c>
      <c r="K137" s="725">
        <f t="shared" si="22"/>
        <v>0</v>
      </c>
      <c r="L137" s="725">
        <f t="shared" si="23"/>
        <v>0</v>
      </c>
    </row>
    <row r="138" spans="1:12" s="751" customFormat="1" ht="18.75" customHeight="1">
      <c r="A138" s="453" t="str">
        <f t="shared" si="20"/>
        <v>TP</v>
      </c>
      <c r="B138" s="770">
        <f t="shared" si="21"/>
        <v>114</v>
      </c>
      <c r="C138" s="771" t="s">
        <v>501</v>
      </c>
      <c r="D138" s="772" t="s">
        <v>970</v>
      </c>
      <c r="E138" s="725"/>
      <c r="F138" s="725"/>
      <c r="G138" s="744">
        <f t="array" ref="G138">SUM(IF("155"&amp;C138=KHN&amp;MH,SL))</f>
        <v>1005</v>
      </c>
      <c r="H138" s="744">
        <f t="array" ref="H138">SUM(IF("155"&amp;C138=KHN&amp;MH,TH))</f>
        <v>7704737</v>
      </c>
      <c r="I138" s="744">
        <f t="array" ref="I138">SUM(IF("155"&amp;C138=KHC&amp;MH,SL))</f>
        <v>1005</v>
      </c>
      <c r="J138" s="744">
        <f t="array" ref="J138">SUM(IF("155"&amp;C138=KHC&amp;MH,TH))</f>
        <v>7704737</v>
      </c>
      <c r="K138" s="725">
        <f t="shared" si="22"/>
        <v>0</v>
      </c>
      <c r="L138" s="725">
        <f t="shared" si="23"/>
        <v>0</v>
      </c>
    </row>
    <row r="139" spans="1:12" s="751" customFormat="1" ht="18.75" customHeight="1">
      <c r="A139" s="453" t="str">
        <f t="shared" si="20"/>
        <v>TP</v>
      </c>
      <c r="B139" s="770">
        <f t="shared" si="21"/>
        <v>115</v>
      </c>
      <c r="C139" s="771" t="s">
        <v>520</v>
      </c>
      <c r="D139" s="772" t="s">
        <v>970</v>
      </c>
      <c r="E139" s="725"/>
      <c r="F139" s="725"/>
      <c r="G139" s="744">
        <f t="array" ref="G139">SUM(IF("155"&amp;C139=KHN&amp;MH,SL))</f>
        <v>1678</v>
      </c>
      <c r="H139" s="744">
        <f t="array" ref="H139">SUM(IF("155"&amp;C139=KHN&amp;MH,TH))</f>
        <v>21194396</v>
      </c>
      <c r="I139" s="744">
        <f t="array" ref="I139">SUM(IF("155"&amp;C139=KHC&amp;MH,SL))</f>
        <v>1678</v>
      </c>
      <c r="J139" s="744">
        <f t="array" ref="J139">SUM(IF("155"&amp;C139=KHC&amp;MH,TH))</f>
        <v>21194396</v>
      </c>
      <c r="K139" s="725">
        <f t="shared" si="22"/>
        <v>0</v>
      </c>
      <c r="L139" s="725">
        <f t="shared" si="23"/>
        <v>0</v>
      </c>
    </row>
    <row r="140" spans="1:12" s="751" customFormat="1" ht="18.75" customHeight="1">
      <c r="A140" s="453" t="str">
        <f t="shared" si="20"/>
        <v>TP</v>
      </c>
      <c r="B140" s="770">
        <f t="shared" si="21"/>
        <v>116</v>
      </c>
      <c r="C140" s="771" t="s">
        <v>826</v>
      </c>
      <c r="D140" s="772" t="s">
        <v>970</v>
      </c>
      <c r="E140" s="725"/>
      <c r="F140" s="725"/>
      <c r="G140" s="744">
        <f t="array" ref="G140">SUM(IF("155"&amp;C140=KHN&amp;MH,SL))</f>
        <v>6118</v>
      </c>
      <c r="H140" s="744">
        <f t="array" ref="H140">SUM(IF("155"&amp;C140=KHN&amp;MH,TH))</f>
        <v>54928693</v>
      </c>
      <c r="I140" s="744">
        <f t="array" ref="I140">SUM(IF("155"&amp;C140=KHC&amp;MH,SL))</f>
        <v>6118</v>
      </c>
      <c r="J140" s="744">
        <f t="array" ref="J140">SUM(IF("155"&amp;C140=KHC&amp;MH,TH))</f>
        <v>54928693</v>
      </c>
      <c r="K140" s="725">
        <f t="shared" si="22"/>
        <v>0</v>
      </c>
      <c r="L140" s="725">
        <f t="shared" si="23"/>
        <v>0</v>
      </c>
    </row>
    <row r="141" spans="1:12" s="751" customFormat="1" ht="18.75" customHeight="1">
      <c r="A141" s="453" t="str">
        <f t="shared" si="20"/>
        <v>TP</v>
      </c>
      <c r="B141" s="770">
        <f t="shared" si="21"/>
        <v>117</v>
      </c>
      <c r="C141" s="773" t="s">
        <v>914</v>
      </c>
      <c r="D141" s="772" t="s">
        <v>970</v>
      </c>
      <c r="E141" s="725"/>
      <c r="F141" s="725"/>
      <c r="G141" s="744">
        <f t="array" ref="G141">SUM(IF("155"&amp;C141=KHN&amp;MH,SL))</f>
        <v>1010</v>
      </c>
      <c r="H141" s="744">
        <f t="array" ref="H141">SUM(IF("155"&amp;C141=KHN&amp;MH,TH))</f>
        <v>8760603</v>
      </c>
      <c r="I141" s="744">
        <f t="array" ref="I141">SUM(IF("155"&amp;C141=KHC&amp;MH,SL))</f>
        <v>1010</v>
      </c>
      <c r="J141" s="744">
        <f t="array" ref="J141">SUM(IF("155"&amp;C141=KHC&amp;MH,TH))</f>
        <v>8760603</v>
      </c>
      <c r="K141" s="725">
        <f t="shared" si="22"/>
        <v>0</v>
      </c>
      <c r="L141" s="725">
        <f t="shared" si="23"/>
        <v>0</v>
      </c>
    </row>
    <row r="142" spans="1:12" s="751" customFormat="1" ht="18.75" customHeight="1">
      <c r="A142" s="453" t="str">
        <f t="shared" si="20"/>
        <v>TP</v>
      </c>
      <c r="B142" s="770">
        <f t="shared" si="21"/>
        <v>118</v>
      </c>
      <c r="C142" s="773" t="s">
        <v>687</v>
      </c>
      <c r="D142" s="772" t="s">
        <v>970</v>
      </c>
      <c r="E142" s="725"/>
      <c r="F142" s="725"/>
      <c r="G142" s="744">
        <f t="array" ref="G142">SUM(IF("155"&amp;C142=KHN&amp;MH,SL))</f>
        <v>21</v>
      </c>
      <c r="H142" s="744">
        <f t="array" ref="H142">SUM(IF("155"&amp;C142=KHN&amp;MH,TH))</f>
        <v>458574</v>
      </c>
      <c r="I142" s="744">
        <f t="array" ref="I142">SUM(IF("155"&amp;C142=KHC&amp;MH,SL))</f>
        <v>21</v>
      </c>
      <c r="J142" s="744">
        <f t="array" ref="J142">SUM(IF("155"&amp;C142=KHC&amp;MH,TH))</f>
        <v>458574</v>
      </c>
      <c r="K142" s="725">
        <f t="shared" si="22"/>
        <v>0</v>
      </c>
      <c r="L142" s="725">
        <f t="shared" si="23"/>
        <v>0</v>
      </c>
    </row>
    <row r="143" spans="1:12" s="751" customFormat="1" ht="18.75" customHeight="1">
      <c r="A143" s="453" t="str">
        <f t="shared" si="20"/>
        <v>TP</v>
      </c>
      <c r="B143" s="770">
        <f t="shared" si="21"/>
        <v>119</v>
      </c>
      <c r="C143" s="757" t="s">
        <v>685</v>
      </c>
      <c r="D143" s="772" t="s">
        <v>970</v>
      </c>
      <c r="E143" s="725"/>
      <c r="F143" s="725"/>
      <c r="G143" s="744">
        <f t="array" ref="G143">SUM(IF("155"&amp;C143=KHN&amp;MH,SL))</f>
        <v>27</v>
      </c>
      <c r="H143" s="744">
        <f t="array" ref="H143">SUM(IF("155"&amp;C143=KHN&amp;MH,TH))</f>
        <v>679985</v>
      </c>
      <c r="I143" s="744">
        <f t="array" ref="I143">SUM(IF("155"&amp;C143=KHC&amp;MH,SL))</f>
        <v>27</v>
      </c>
      <c r="J143" s="744">
        <f t="array" ref="J143">SUM(IF("155"&amp;C143=KHC&amp;MH,TH))</f>
        <v>679985</v>
      </c>
      <c r="K143" s="725">
        <f t="shared" si="22"/>
        <v>0</v>
      </c>
      <c r="L143" s="725">
        <f t="shared" si="23"/>
        <v>0</v>
      </c>
    </row>
    <row r="144" spans="1:12" s="751" customFormat="1" ht="18.75" customHeight="1">
      <c r="A144" s="453" t="str">
        <f t="shared" si="20"/>
        <v>TP</v>
      </c>
      <c r="B144" s="770">
        <f t="shared" si="21"/>
        <v>120</v>
      </c>
      <c r="C144" s="757" t="s">
        <v>684</v>
      </c>
      <c r="D144" s="772" t="s">
        <v>970</v>
      </c>
      <c r="E144" s="725"/>
      <c r="F144" s="725"/>
      <c r="G144" s="744">
        <f t="array" ref="G144">SUM(IF("155"&amp;C144=KHN&amp;MH,SL))</f>
        <v>27</v>
      </c>
      <c r="H144" s="744">
        <f t="array" ref="H144">SUM(IF("155"&amp;C144=KHN&amp;MH,TH))</f>
        <v>747778</v>
      </c>
      <c r="I144" s="744">
        <f t="array" ref="I144">SUM(IF("155"&amp;C144=KHC&amp;MH,SL))</f>
        <v>27</v>
      </c>
      <c r="J144" s="744">
        <f t="array" ref="J144">SUM(IF("155"&amp;C144=KHC&amp;MH,TH))</f>
        <v>747778</v>
      </c>
      <c r="K144" s="725">
        <f t="shared" si="22"/>
        <v>0</v>
      </c>
      <c r="L144" s="725">
        <f t="shared" si="23"/>
        <v>0</v>
      </c>
    </row>
    <row r="145" spans="1:12" s="751" customFormat="1" ht="18.75" customHeight="1">
      <c r="A145" s="453" t="str">
        <f t="shared" si="20"/>
        <v>TP</v>
      </c>
      <c r="B145" s="770">
        <f t="shared" si="21"/>
        <v>121</v>
      </c>
      <c r="C145" s="771" t="s">
        <v>680</v>
      </c>
      <c r="D145" s="772" t="s">
        <v>970</v>
      </c>
      <c r="E145" s="725"/>
      <c r="F145" s="725"/>
      <c r="G145" s="744">
        <f t="array" ref="G145">SUM(IF("155"&amp;C145=KHN&amp;MH,SL))</f>
        <v>6030</v>
      </c>
      <c r="H145" s="744">
        <f t="array" ref="H145">SUM(IF("155"&amp;C145=KHN&amp;MH,TH))</f>
        <v>61020637</v>
      </c>
      <c r="I145" s="744">
        <f t="array" ref="I145">SUM(IF("155"&amp;C145=KHC&amp;MH,SL))</f>
        <v>6030</v>
      </c>
      <c r="J145" s="744">
        <f t="array" ref="J145">SUM(IF("155"&amp;C145=KHC&amp;MH,TH))</f>
        <v>61020637</v>
      </c>
      <c r="K145" s="725">
        <f t="shared" si="22"/>
        <v>0</v>
      </c>
      <c r="L145" s="725">
        <f t="shared" si="23"/>
        <v>0</v>
      </c>
    </row>
    <row r="146" spans="1:12" s="751" customFormat="1" ht="18.75" customHeight="1">
      <c r="A146" s="453" t="str">
        <f t="shared" si="20"/>
        <v>TP</v>
      </c>
      <c r="B146" s="770">
        <f t="shared" si="21"/>
        <v>122</v>
      </c>
      <c r="C146" s="773" t="s">
        <v>894</v>
      </c>
      <c r="D146" s="772" t="s">
        <v>970</v>
      </c>
      <c r="E146" s="725"/>
      <c r="F146" s="725"/>
      <c r="G146" s="744">
        <f t="array" ref="G146">SUM(IF("155"&amp;C146=KHN&amp;MH,SL))</f>
        <v>126</v>
      </c>
      <c r="H146" s="744">
        <f t="array" ref="H146">SUM(IF("155"&amp;C146=KHN&amp;MH,TH))</f>
        <v>1648947</v>
      </c>
      <c r="I146" s="744">
        <f t="array" ref="I146">SUM(IF("155"&amp;C146=KHC&amp;MH,SL))</f>
        <v>126</v>
      </c>
      <c r="J146" s="744">
        <f t="array" ref="J146">SUM(IF("155"&amp;C146=KHC&amp;MH,TH))</f>
        <v>1648947</v>
      </c>
      <c r="K146" s="725">
        <f t="shared" si="22"/>
        <v>0</v>
      </c>
      <c r="L146" s="725">
        <f t="shared" si="23"/>
        <v>0</v>
      </c>
    </row>
    <row r="147" spans="1:12" s="751" customFormat="1" ht="18" customHeight="1">
      <c r="A147" s="453" t="str">
        <f t="shared" si="20"/>
        <v>TP</v>
      </c>
      <c r="B147" s="770">
        <f t="shared" si="21"/>
        <v>123</v>
      </c>
      <c r="C147" s="771" t="s">
        <v>927</v>
      </c>
      <c r="D147" s="772" t="s">
        <v>970</v>
      </c>
      <c r="E147" s="725"/>
      <c r="F147" s="725"/>
      <c r="G147" s="744">
        <f t="array" ref="G147">SUM(IF("155"&amp;C147=KHN&amp;MH,SL))</f>
        <v>244</v>
      </c>
      <c r="H147" s="744">
        <f t="array" ref="H147">SUM(IF("155"&amp;C147=KHN&amp;MH,TH))</f>
        <v>2543421</v>
      </c>
      <c r="I147" s="744">
        <f t="array" ref="I147">SUM(IF("155"&amp;C147=KHC&amp;MH,SL))</f>
        <v>244</v>
      </c>
      <c r="J147" s="744">
        <f t="array" ref="J147">SUM(IF("155"&amp;C147=KHC&amp;MH,TH))</f>
        <v>2543421</v>
      </c>
      <c r="K147" s="725">
        <f t="shared" si="22"/>
        <v>0</v>
      </c>
      <c r="L147" s="725">
        <f t="shared" si="23"/>
        <v>0</v>
      </c>
    </row>
    <row r="148" spans="1:12" s="751" customFormat="1" ht="18" customHeight="1">
      <c r="A148" s="453" t="str">
        <f t="shared" si="20"/>
        <v>TP</v>
      </c>
      <c r="B148" s="770">
        <f t="shared" si="21"/>
        <v>124</v>
      </c>
      <c r="C148" s="771" t="s">
        <v>926</v>
      </c>
      <c r="D148" s="772" t="s">
        <v>970</v>
      </c>
      <c r="E148" s="725"/>
      <c r="F148" s="725"/>
      <c r="G148" s="744">
        <f t="array" ref="G148">SUM(IF("155"&amp;C148=KHN&amp;MH,SL))</f>
        <v>244</v>
      </c>
      <c r="H148" s="744">
        <f t="array" ref="H148">SUM(IF("155"&amp;C148=KHN&amp;MH,TH))</f>
        <v>2710507</v>
      </c>
      <c r="I148" s="744">
        <f t="array" ref="I148">SUM(IF("155"&amp;C148=KHC&amp;MH,SL))</f>
        <v>244</v>
      </c>
      <c r="J148" s="744">
        <f t="array" ref="J148">SUM(IF("155"&amp;C148=KHC&amp;MH,TH))</f>
        <v>2710507</v>
      </c>
      <c r="K148" s="725">
        <f t="shared" si="22"/>
        <v>0</v>
      </c>
      <c r="L148" s="725">
        <f t="shared" si="23"/>
        <v>0</v>
      </c>
    </row>
    <row r="149" spans="1:12" s="751" customFormat="1" ht="18.75" customHeight="1">
      <c r="A149" s="453" t="str">
        <f t="shared" si="20"/>
        <v>TP</v>
      </c>
      <c r="B149" s="770">
        <f t="shared" si="21"/>
        <v>125</v>
      </c>
      <c r="C149" s="771" t="s">
        <v>623</v>
      </c>
      <c r="D149" s="772" t="s">
        <v>970</v>
      </c>
      <c r="E149" s="725"/>
      <c r="F149" s="725"/>
      <c r="G149" s="744">
        <f t="array" ref="G149">SUM(IF("155"&amp;C149=KHN&amp;MH,SL))</f>
        <v>305</v>
      </c>
      <c r="H149" s="744">
        <f t="array" ref="H149">SUM(IF("155"&amp;C149=KHN&amp;MH,TH))</f>
        <v>4827362</v>
      </c>
      <c r="I149" s="744">
        <f t="array" ref="I149">SUM(IF("155"&amp;C149=KHC&amp;MH,SL))</f>
        <v>305</v>
      </c>
      <c r="J149" s="744">
        <f t="array" ref="J149">SUM(IF("155"&amp;C149=KHC&amp;MH,TH))</f>
        <v>4827362</v>
      </c>
      <c r="K149" s="725">
        <f t="shared" si="22"/>
        <v>0</v>
      </c>
      <c r="L149" s="725">
        <f t="shared" si="23"/>
        <v>0</v>
      </c>
    </row>
    <row r="150" spans="1:12" s="751" customFormat="1" ht="18.75" customHeight="1">
      <c r="A150" s="453" t="str">
        <f t="shared" si="20"/>
        <v>TP</v>
      </c>
      <c r="B150" s="770">
        <f t="shared" si="21"/>
        <v>126</v>
      </c>
      <c r="C150" s="771" t="s">
        <v>524</v>
      </c>
      <c r="D150" s="772" t="s">
        <v>970</v>
      </c>
      <c r="E150" s="725"/>
      <c r="F150" s="725"/>
      <c r="G150" s="744">
        <f t="array" ref="G150">SUM(IF("155"&amp;C150=KHN&amp;MH,SL))</f>
        <v>1306</v>
      </c>
      <c r="H150" s="744">
        <f t="array" ref="H150">SUM(IF("155"&amp;C150=KHN&amp;MH,TH))</f>
        <v>19643264</v>
      </c>
      <c r="I150" s="744">
        <f t="array" ref="I150">SUM(IF("155"&amp;C150=KHC&amp;MH,SL))</f>
        <v>1306</v>
      </c>
      <c r="J150" s="744">
        <f t="array" ref="J150">SUM(IF("155"&amp;C150=KHC&amp;MH,TH))</f>
        <v>19643264</v>
      </c>
      <c r="K150" s="725">
        <f t="shared" si="22"/>
        <v>0</v>
      </c>
      <c r="L150" s="725">
        <f t="shared" si="23"/>
        <v>0</v>
      </c>
    </row>
    <row r="151" spans="1:12" s="751" customFormat="1" ht="18.75" customHeight="1">
      <c r="A151" s="453" t="str">
        <f t="shared" si="20"/>
        <v>TP</v>
      </c>
      <c r="B151" s="770">
        <f t="shared" si="21"/>
        <v>127</v>
      </c>
      <c r="C151" s="771" t="s">
        <v>653</v>
      </c>
      <c r="D151" s="772" t="s">
        <v>970</v>
      </c>
      <c r="E151" s="725"/>
      <c r="F151" s="725"/>
      <c r="G151" s="744">
        <f t="array" ref="G151">SUM(IF("155"&amp;C151=KHN&amp;MH,SL))</f>
        <v>684</v>
      </c>
      <c r="H151" s="744">
        <f t="array" ref="H151">SUM(IF("155"&amp;C151=KHN&amp;MH,TH))</f>
        <v>8631469</v>
      </c>
      <c r="I151" s="744">
        <f t="array" ref="I151">SUM(IF("155"&amp;C151=KHC&amp;MH,SL))</f>
        <v>684</v>
      </c>
      <c r="J151" s="744">
        <f t="array" ref="J151">SUM(IF("155"&amp;C151=KHC&amp;MH,TH))</f>
        <v>8631469</v>
      </c>
      <c r="K151" s="725">
        <f t="shared" si="22"/>
        <v>0</v>
      </c>
      <c r="L151" s="725">
        <f t="shared" si="23"/>
        <v>0</v>
      </c>
    </row>
    <row r="152" spans="1:12" s="751" customFormat="1" ht="18.75" customHeight="1">
      <c r="A152" s="453" t="str">
        <f t="shared" si="20"/>
        <v>TP</v>
      </c>
      <c r="B152" s="770">
        <f t="shared" si="21"/>
        <v>128</v>
      </c>
      <c r="C152" s="757" t="s">
        <v>668</v>
      </c>
      <c r="D152" s="772" t="s">
        <v>970</v>
      </c>
      <c r="E152" s="725"/>
      <c r="F152" s="725"/>
      <c r="G152" s="744">
        <f t="array" ref="G152">SUM(IF("155"&amp;C152=KHN&amp;MH,SL))</f>
        <v>18</v>
      </c>
      <c r="H152" s="744">
        <f t="array" ref="H152">SUM(IF("155"&amp;C152=KHN&amp;MH,TH))</f>
        <v>217760</v>
      </c>
      <c r="I152" s="744">
        <f t="array" ref="I152">SUM(IF("155"&amp;C152=KHC&amp;MH,SL))</f>
        <v>18</v>
      </c>
      <c r="J152" s="744">
        <f t="array" ref="J152">SUM(IF("155"&amp;C152=KHC&amp;MH,TH))</f>
        <v>217760</v>
      </c>
      <c r="K152" s="725">
        <f t="shared" si="22"/>
        <v>0</v>
      </c>
      <c r="L152" s="725">
        <f t="shared" si="23"/>
        <v>0</v>
      </c>
    </row>
    <row r="153" spans="1:12" s="751" customFormat="1" ht="18.75" customHeight="1">
      <c r="A153" s="453" t="str">
        <f t="shared" si="20"/>
        <v>TP</v>
      </c>
      <c r="B153" s="770">
        <f t="shared" si="21"/>
        <v>129</v>
      </c>
      <c r="C153" s="771" t="s">
        <v>835</v>
      </c>
      <c r="D153" s="772" t="s">
        <v>970</v>
      </c>
      <c r="E153" s="725"/>
      <c r="F153" s="725"/>
      <c r="G153" s="744">
        <f t="array" ref="G153">SUM(IF("155"&amp;C153=KHN&amp;MH,SL))</f>
        <v>91</v>
      </c>
      <c r="H153" s="744">
        <f t="array" ref="H153">SUM(IF("155"&amp;C153=KHN&amp;MH,TH))</f>
        <v>1557872</v>
      </c>
      <c r="I153" s="744">
        <f t="array" ref="I153">SUM(IF("155"&amp;C153=KHC&amp;MH,SL))</f>
        <v>91</v>
      </c>
      <c r="J153" s="744">
        <f t="array" ref="J153">SUM(IF("155"&amp;C153=KHC&amp;MH,TH))</f>
        <v>1557872</v>
      </c>
      <c r="K153" s="725">
        <f t="shared" ref="K153:K178" si="24">E153+G153-I153</f>
        <v>0</v>
      </c>
      <c r="L153" s="725">
        <f t="shared" ref="L153:L178" si="25">F153+H153-J153</f>
        <v>0</v>
      </c>
    </row>
    <row r="154" spans="1:12" s="751" customFormat="1" ht="18.75" customHeight="1">
      <c r="A154" s="453" t="str">
        <f t="shared" si="20"/>
        <v>TP</v>
      </c>
      <c r="B154" s="770">
        <f t="shared" si="21"/>
        <v>130</v>
      </c>
      <c r="C154" s="757" t="s">
        <v>686</v>
      </c>
      <c r="D154" s="772" t="s">
        <v>970</v>
      </c>
      <c r="E154" s="725"/>
      <c r="F154" s="725"/>
      <c r="G154" s="744">
        <f t="array" ref="G154">SUM(IF("155"&amp;C154=KHN&amp;MH,SL))</f>
        <v>26</v>
      </c>
      <c r="H154" s="744">
        <f t="array" ref="H154">SUM(IF("155"&amp;C154=KHN&amp;MH,TH))</f>
        <v>931756</v>
      </c>
      <c r="I154" s="744">
        <f t="array" ref="I154">SUM(IF("155"&amp;C154=KHC&amp;MH,SL))</f>
        <v>26</v>
      </c>
      <c r="J154" s="744">
        <f t="array" ref="J154">SUM(IF("155"&amp;C154=KHC&amp;MH,TH))</f>
        <v>931756</v>
      </c>
      <c r="K154" s="725">
        <f t="shared" si="24"/>
        <v>0</v>
      </c>
      <c r="L154" s="725">
        <f t="shared" si="25"/>
        <v>0</v>
      </c>
    </row>
    <row r="155" spans="1:12" s="751" customFormat="1" ht="18.75" customHeight="1">
      <c r="A155" s="453" t="str">
        <f t="shared" ref="A155:A172" si="26">IF(B155&lt;&gt;"","TP","")</f>
        <v>TP</v>
      </c>
      <c r="B155" s="770">
        <f t="shared" ref="B155:B172" si="27">IF(C155&lt;&gt;"",B154+1,"")</f>
        <v>131</v>
      </c>
      <c r="C155" s="757" t="s">
        <v>510</v>
      </c>
      <c r="D155" s="772" t="s">
        <v>970</v>
      </c>
      <c r="E155" s="725"/>
      <c r="F155" s="725"/>
      <c r="G155" s="744">
        <f t="array" ref="G155">SUM(IF("155"&amp;C155=KHN&amp;MH,SL))</f>
        <v>102</v>
      </c>
      <c r="H155" s="744">
        <f t="array" ref="H155">SUM(IF("155"&amp;C155=KHN&amp;MH,TH))</f>
        <v>2001179</v>
      </c>
      <c r="I155" s="744">
        <f t="array" ref="I155">SUM(IF("155"&amp;C155=KHC&amp;MH,SL))</f>
        <v>102</v>
      </c>
      <c r="J155" s="744">
        <f t="array" ref="J155">SUM(IF("155"&amp;C155=KHC&amp;MH,TH))</f>
        <v>2001179</v>
      </c>
      <c r="K155" s="725">
        <f t="shared" si="24"/>
        <v>0</v>
      </c>
      <c r="L155" s="725">
        <f t="shared" si="25"/>
        <v>0</v>
      </c>
    </row>
    <row r="156" spans="1:12" s="751" customFormat="1" ht="18.75" customHeight="1">
      <c r="A156" s="453" t="str">
        <f t="shared" si="26"/>
        <v>TP</v>
      </c>
      <c r="B156" s="770">
        <f t="shared" si="27"/>
        <v>132</v>
      </c>
      <c r="C156" s="773" t="s">
        <v>910</v>
      </c>
      <c r="D156" s="772" t="s">
        <v>970</v>
      </c>
      <c r="E156" s="725"/>
      <c r="F156" s="725"/>
      <c r="G156" s="744">
        <f t="array" ref="G156">SUM(IF("155"&amp;C156=KHN&amp;MH,SL))</f>
        <v>24</v>
      </c>
      <c r="H156" s="744">
        <f t="array" ref="H156">SUM(IF("155"&amp;C156=KHN&amp;MH,TH))</f>
        <v>953212</v>
      </c>
      <c r="I156" s="744">
        <f t="array" ref="I156">SUM(IF("155"&amp;C156=KHC&amp;MH,SL))</f>
        <v>24</v>
      </c>
      <c r="J156" s="744">
        <f t="array" ref="J156">SUM(IF("155"&amp;C156=KHC&amp;MH,TH))</f>
        <v>953212</v>
      </c>
      <c r="K156" s="725">
        <f t="shared" si="24"/>
        <v>0</v>
      </c>
      <c r="L156" s="725">
        <f t="shared" si="25"/>
        <v>0</v>
      </c>
    </row>
    <row r="157" spans="1:12" s="751" customFormat="1" ht="18.75" customHeight="1">
      <c r="A157" s="453" t="str">
        <f t="shared" si="26"/>
        <v>TP</v>
      </c>
      <c r="B157" s="770">
        <f t="shared" si="27"/>
        <v>133</v>
      </c>
      <c r="C157" s="771" t="s">
        <v>842</v>
      </c>
      <c r="D157" s="772" t="s">
        <v>970</v>
      </c>
      <c r="E157" s="725"/>
      <c r="F157" s="725"/>
      <c r="G157" s="744">
        <f t="array" ref="G157">SUM(IF("155"&amp;C157=KHN&amp;MH,SL))</f>
        <v>103</v>
      </c>
      <c r="H157" s="744">
        <f t="array" ref="H157">SUM(IF("155"&amp;C157=KHN&amp;MH,TH))</f>
        <v>1238232</v>
      </c>
      <c r="I157" s="744">
        <f t="array" ref="I157">SUM(IF("155"&amp;C157=KHC&amp;MH,SL))</f>
        <v>103</v>
      </c>
      <c r="J157" s="744">
        <f t="array" ref="J157">SUM(IF("155"&amp;C157=KHC&amp;MH,TH))</f>
        <v>1238232</v>
      </c>
      <c r="K157" s="725">
        <f t="shared" si="24"/>
        <v>0</v>
      </c>
      <c r="L157" s="725">
        <f t="shared" si="25"/>
        <v>0</v>
      </c>
    </row>
    <row r="158" spans="1:12" s="751" customFormat="1" ht="18.75" customHeight="1">
      <c r="A158" s="453" t="str">
        <f t="shared" si="26"/>
        <v>TP</v>
      </c>
      <c r="B158" s="770">
        <f t="shared" si="27"/>
        <v>134</v>
      </c>
      <c r="C158" s="771" t="s">
        <v>957</v>
      </c>
      <c r="D158" s="772" t="s">
        <v>970</v>
      </c>
      <c r="E158" s="725"/>
      <c r="F158" s="725"/>
      <c r="G158" s="744">
        <f t="array" ref="G158">SUM(IF("155"&amp;C158=KHN&amp;MH,SL))</f>
        <v>1560</v>
      </c>
      <c r="H158" s="744">
        <f t="array" ref="H158">SUM(IF("155"&amp;C158=KHN&amp;MH,TH))</f>
        <v>14955569</v>
      </c>
      <c r="I158" s="744">
        <f t="array" ref="I158">SUM(IF("155"&amp;C158=KHC&amp;MH,SL))</f>
        <v>1560</v>
      </c>
      <c r="J158" s="744">
        <f t="array" ref="J158">SUM(IF("155"&amp;C158=KHC&amp;MH,TH))</f>
        <v>14955569</v>
      </c>
      <c r="K158" s="725">
        <f t="shared" si="24"/>
        <v>0</v>
      </c>
      <c r="L158" s="725">
        <f t="shared" si="25"/>
        <v>0</v>
      </c>
    </row>
    <row r="159" spans="1:12" s="751" customFormat="1" ht="19.5" customHeight="1">
      <c r="A159" s="453" t="str">
        <f t="shared" si="26"/>
        <v>TP</v>
      </c>
      <c r="B159" s="770">
        <f t="shared" si="27"/>
        <v>135</v>
      </c>
      <c r="C159" s="773" t="s">
        <v>891</v>
      </c>
      <c r="D159" s="772" t="s">
        <v>970</v>
      </c>
      <c r="E159" s="725"/>
      <c r="F159" s="725"/>
      <c r="G159" s="744">
        <f t="array" ref="G159">SUM(IF("155"&amp;C159=KHN&amp;MH,SL))</f>
        <v>70</v>
      </c>
      <c r="H159" s="744">
        <f t="array" ref="H159">SUM(IF("155"&amp;C159=KHN&amp;MH,TH))</f>
        <v>1145102</v>
      </c>
      <c r="I159" s="744">
        <f t="array" ref="I159">SUM(IF("155"&amp;C159=KHC&amp;MH,SL))</f>
        <v>70</v>
      </c>
      <c r="J159" s="744">
        <f t="array" ref="J159">SUM(IF("155"&amp;C159=KHC&amp;MH,TH))</f>
        <v>1145102</v>
      </c>
      <c r="K159" s="725">
        <f t="shared" si="24"/>
        <v>0</v>
      </c>
      <c r="L159" s="725">
        <f t="shared" si="25"/>
        <v>0</v>
      </c>
    </row>
    <row r="160" spans="1:12" s="751" customFormat="1" ht="19.5" customHeight="1">
      <c r="A160" s="453" t="str">
        <f t="shared" si="26"/>
        <v>TP</v>
      </c>
      <c r="B160" s="770">
        <f t="shared" si="27"/>
        <v>136</v>
      </c>
      <c r="C160" s="771" t="s">
        <v>497</v>
      </c>
      <c r="D160" s="772" t="s">
        <v>970</v>
      </c>
      <c r="E160" s="725"/>
      <c r="F160" s="725"/>
      <c r="G160" s="744">
        <f t="array" ref="G160">SUM(IF("155"&amp;C160=KHN&amp;MH,SL))</f>
        <v>220</v>
      </c>
      <c r="H160" s="744">
        <f t="array" ref="H160">SUM(IF("155"&amp;C160=KHN&amp;MH,TH))</f>
        <v>4951014</v>
      </c>
      <c r="I160" s="744">
        <f t="array" ref="I160">SUM(IF("155"&amp;C160=KHC&amp;MH,SL))</f>
        <v>220</v>
      </c>
      <c r="J160" s="744">
        <f t="array" ref="J160">SUM(IF("155"&amp;C160=KHC&amp;MH,TH))</f>
        <v>4951014</v>
      </c>
      <c r="K160" s="725">
        <f t="shared" si="24"/>
        <v>0</v>
      </c>
      <c r="L160" s="725">
        <f t="shared" si="25"/>
        <v>0</v>
      </c>
    </row>
    <row r="161" spans="1:12" s="751" customFormat="1" ht="19.5" customHeight="1">
      <c r="A161" s="453" t="str">
        <f t="shared" si="26"/>
        <v>TP</v>
      </c>
      <c r="B161" s="770">
        <f t="shared" si="27"/>
        <v>137</v>
      </c>
      <c r="C161" s="757" t="s">
        <v>843</v>
      </c>
      <c r="D161" s="772" t="s">
        <v>970</v>
      </c>
      <c r="E161" s="725"/>
      <c r="F161" s="725"/>
      <c r="G161" s="744">
        <f t="array" ref="G161">SUM(IF("155"&amp;C161=KHN&amp;MH,SL))</f>
        <v>273</v>
      </c>
      <c r="H161" s="744">
        <f t="array" ref="H161">SUM(IF("155"&amp;C161=KHN&amp;MH,TH))</f>
        <v>4985190</v>
      </c>
      <c r="I161" s="744">
        <f t="array" ref="I161">SUM(IF("155"&amp;C161=KHC&amp;MH,SL))</f>
        <v>273</v>
      </c>
      <c r="J161" s="744">
        <f t="array" ref="J161">SUM(IF("155"&amp;C161=KHC&amp;MH,TH))</f>
        <v>4985190</v>
      </c>
      <c r="K161" s="725">
        <f t="shared" si="24"/>
        <v>0</v>
      </c>
      <c r="L161" s="725">
        <f t="shared" si="25"/>
        <v>0</v>
      </c>
    </row>
    <row r="162" spans="1:12" s="751" customFormat="1" ht="19.5" customHeight="1">
      <c r="A162" s="453" t="str">
        <f t="shared" si="26"/>
        <v>TP</v>
      </c>
      <c r="B162" s="770">
        <f t="shared" si="27"/>
        <v>138</v>
      </c>
      <c r="C162" s="773" t="s">
        <v>644</v>
      </c>
      <c r="D162" s="772" t="s">
        <v>970</v>
      </c>
      <c r="E162" s="725"/>
      <c r="F162" s="725"/>
      <c r="G162" s="744">
        <f t="array" ref="G162">SUM(IF("155"&amp;C162=KHN&amp;MH,SL))</f>
        <v>550</v>
      </c>
      <c r="H162" s="744">
        <f t="array" ref="H162">SUM(IF("155"&amp;C162=KHN&amp;MH,TH))</f>
        <v>5622030</v>
      </c>
      <c r="I162" s="744">
        <f t="array" ref="I162">SUM(IF("155"&amp;C162=KHC&amp;MH,SL))</f>
        <v>550</v>
      </c>
      <c r="J162" s="744">
        <f t="array" ref="J162">SUM(IF("155"&amp;C162=KHC&amp;MH,TH))</f>
        <v>5622030</v>
      </c>
      <c r="K162" s="725">
        <f t="shared" si="24"/>
        <v>0</v>
      </c>
      <c r="L162" s="725">
        <f t="shared" si="25"/>
        <v>0</v>
      </c>
    </row>
    <row r="163" spans="1:12" s="751" customFormat="1" ht="19.5" customHeight="1">
      <c r="A163" s="453" t="str">
        <f t="shared" si="26"/>
        <v>TP</v>
      </c>
      <c r="B163" s="770">
        <f t="shared" si="27"/>
        <v>139</v>
      </c>
      <c r="C163" s="771" t="s">
        <v>645</v>
      </c>
      <c r="D163" s="772" t="s">
        <v>970</v>
      </c>
      <c r="E163" s="725"/>
      <c r="F163" s="725"/>
      <c r="G163" s="744">
        <f t="array" ref="G163">SUM(IF("155"&amp;C163=KHN&amp;MH,SL))</f>
        <v>530</v>
      </c>
      <c r="H163" s="744">
        <f t="array" ref="H163">SUM(IF("155"&amp;C163=KHN&amp;MH,TH))</f>
        <v>6640921</v>
      </c>
      <c r="I163" s="744">
        <f t="array" ref="I163">SUM(IF("155"&amp;C163=KHC&amp;MH,SL))</f>
        <v>530</v>
      </c>
      <c r="J163" s="744">
        <f t="array" ref="J163">SUM(IF("155"&amp;C163=KHC&amp;MH,TH))</f>
        <v>6640921</v>
      </c>
      <c r="K163" s="725">
        <f t="shared" si="24"/>
        <v>0</v>
      </c>
      <c r="L163" s="725">
        <f t="shared" si="25"/>
        <v>0</v>
      </c>
    </row>
    <row r="164" spans="1:12" s="751" customFormat="1" ht="19.5" customHeight="1">
      <c r="A164" s="453" t="str">
        <f t="shared" si="26"/>
        <v>TP</v>
      </c>
      <c r="B164" s="770">
        <f t="shared" si="27"/>
        <v>140</v>
      </c>
      <c r="C164" s="771" t="s">
        <v>648</v>
      </c>
      <c r="D164" s="772" t="s">
        <v>970</v>
      </c>
      <c r="E164" s="725"/>
      <c r="F164" s="725"/>
      <c r="G164" s="744">
        <f t="array" ref="G164">SUM(IF("155"&amp;C164=KHN&amp;MH,SL))</f>
        <v>330</v>
      </c>
      <c r="H164" s="744">
        <f t="array" ref="H164">SUM(IF("155"&amp;C164=KHN&amp;MH,TH))</f>
        <v>2965168</v>
      </c>
      <c r="I164" s="744">
        <f t="array" ref="I164">SUM(IF("155"&amp;C164=KHC&amp;MH,SL))</f>
        <v>330</v>
      </c>
      <c r="J164" s="744">
        <f t="array" ref="J164">SUM(IF("155"&amp;C164=KHC&amp;MH,TH))</f>
        <v>2965168</v>
      </c>
      <c r="K164" s="725">
        <f t="shared" si="24"/>
        <v>0</v>
      </c>
      <c r="L164" s="725">
        <f t="shared" si="25"/>
        <v>0</v>
      </c>
    </row>
    <row r="165" spans="1:12" s="751" customFormat="1" ht="19.5" customHeight="1">
      <c r="A165" s="453" t="str">
        <f t="shared" si="26"/>
        <v>TP</v>
      </c>
      <c r="B165" s="770">
        <f t="shared" si="27"/>
        <v>141</v>
      </c>
      <c r="C165" s="771" t="s">
        <v>646</v>
      </c>
      <c r="D165" s="772" t="s">
        <v>970</v>
      </c>
      <c r="E165" s="725"/>
      <c r="F165" s="725"/>
      <c r="G165" s="744">
        <f t="array" ref="G165">SUM(IF("155"&amp;C165=KHN&amp;MH,SL))</f>
        <v>630</v>
      </c>
      <c r="H165" s="744">
        <f t="array" ref="H165">SUM(IF("155"&amp;C165=KHN&amp;MH,TH))</f>
        <v>6283979</v>
      </c>
      <c r="I165" s="744">
        <f t="array" ref="I165">SUM(IF("155"&amp;C165=KHC&amp;MH,SL))</f>
        <v>630</v>
      </c>
      <c r="J165" s="744">
        <f t="array" ref="J165">SUM(IF("155"&amp;C165=KHC&amp;MH,TH))</f>
        <v>6283979</v>
      </c>
      <c r="K165" s="725">
        <f t="shared" si="24"/>
        <v>0</v>
      </c>
      <c r="L165" s="725">
        <f t="shared" si="25"/>
        <v>0</v>
      </c>
    </row>
    <row r="166" spans="1:12" s="751" customFormat="1" ht="19.5" customHeight="1">
      <c r="A166" s="453" t="str">
        <f t="shared" si="26"/>
        <v>TP</v>
      </c>
      <c r="B166" s="770">
        <f t="shared" si="27"/>
        <v>142</v>
      </c>
      <c r="C166" s="771" t="s">
        <v>647</v>
      </c>
      <c r="D166" s="772" t="s">
        <v>970</v>
      </c>
      <c r="E166" s="725"/>
      <c r="F166" s="725"/>
      <c r="G166" s="744">
        <f t="array" ref="G166">SUM(IF("155"&amp;C166=KHN&amp;MH,SL))</f>
        <v>800</v>
      </c>
      <c r="H166" s="744">
        <f t="array" ref="H166">SUM(IF("155"&amp;C166=KHN&amp;MH,TH))</f>
        <v>8771026</v>
      </c>
      <c r="I166" s="744">
        <f t="array" ref="I166">SUM(IF("155"&amp;C166=KHC&amp;MH,SL))</f>
        <v>800</v>
      </c>
      <c r="J166" s="744">
        <f t="array" ref="J166">SUM(IF("155"&amp;C166=KHC&amp;MH,TH))</f>
        <v>8771026</v>
      </c>
      <c r="K166" s="725">
        <f t="shared" si="24"/>
        <v>0</v>
      </c>
      <c r="L166" s="725">
        <f t="shared" si="25"/>
        <v>0</v>
      </c>
    </row>
    <row r="167" spans="1:12" s="751" customFormat="1" ht="19.5" customHeight="1">
      <c r="A167" s="453" t="str">
        <f t="shared" si="26"/>
        <v>TP</v>
      </c>
      <c r="B167" s="770">
        <f t="shared" si="27"/>
        <v>143</v>
      </c>
      <c r="C167" s="771" t="s">
        <v>817</v>
      </c>
      <c r="D167" s="772" t="s">
        <v>970</v>
      </c>
      <c r="E167" s="725"/>
      <c r="F167" s="725"/>
      <c r="G167" s="744">
        <f t="array" ref="G167">SUM(IF("155"&amp;C167=KHN&amp;MH,SL))</f>
        <v>360</v>
      </c>
      <c r="H167" s="744">
        <f t="array" ref="H167">SUM(IF("155"&amp;C167=KHN&amp;MH,TH))</f>
        <v>6202369</v>
      </c>
      <c r="I167" s="744">
        <f t="array" ref="I167">SUM(IF("155"&amp;C167=KHC&amp;MH,SL))</f>
        <v>360</v>
      </c>
      <c r="J167" s="744">
        <f t="array" ref="J167">SUM(IF("155"&amp;C167=KHC&amp;MH,TH))</f>
        <v>6202369</v>
      </c>
      <c r="K167" s="725">
        <f t="shared" si="24"/>
        <v>0</v>
      </c>
      <c r="L167" s="725">
        <f t="shared" si="25"/>
        <v>0</v>
      </c>
    </row>
    <row r="168" spans="1:12" s="751" customFormat="1" ht="19.5" customHeight="1">
      <c r="A168" s="453" t="str">
        <f t="shared" si="26"/>
        <v>TP</v>
      </c>
      <c r="B168" s="770">
        <f t="shared" si="27"/>
        <v>144</v>
      </c>
      <c r="C168" s="757" t="s">
        <v>816</v>
      </c>
      <c r="D168" s="772" t="s">
        <v>970</v>
      </c>
      <c r="E168" s="725"/>
      <c r="F168" s="725"/>
      <c r="G168" s="744">
        <f t="array" ref="G168">SUM(IF("155"&amp;C168=KHN&amp;MH,SL))</f>
        <v>500</v>
      </c>
      <c r="H168" s="744">
        <f t="array" ref="H168">SUM(IF("155"&amp;C168=KHN&amp;MH,TH))</f>
        <v>3297379</v>
      </c>
      <c r="I168" s="744">
        <f t="array" ref="I168">SUM(IF("155"&amp;C168=KHC&amp;MH,SL))</f>
        <v>500</v>
      </c>
      <c r="J168" s="744">
        <f t="array" ref="J168">SUM(IF("155"&amp;C168=KHC&amp;MH,TH))</f>
        <v>3297379</v>
      </c>
      <c r="K168" s="725">
        <f t="shared" si="24"/>
        <v>0</v>
      </c>
      <c r="L168" s="725">
        <f t="shared" si="25"/>
        <v>0</v>
      </c>
    </row>
    <row r="169" spans="1:12" s="751" customFormat="1" ht="19.5" customHeight="1">
      <c r="A169" s="453" t="str">
        <f t="shared" si="26"/>
        <v>TP</v>
      </c>
      <c r="B169" s="770">
        <f t="shared" si="27"/>
        <v>145</v>
      </c>
      <c r="C169" s="757" t="s">
        <v>815</v>
      </c>
      <c r="D169" s="772" t="s">
        <v>970</v>
      </c>
      <c r="E169" s="725"/>
      <c r="F169" s="725"/>
      <c r="G169" s="744">
        <f t="array" ref="G169">SUM(IF("155"&amp;C169=KHN&amp;MH,SL))</f>
        <v>2400</v>
      </c>
      <c r="H169" s="744">
        <f t="array" ref="H169">SUM(IF("155"&amp;C169=KHN&amp;MH,TH))</f>
        <v>7715866</v>
      </c>
      <c r="I169" s="744">
        <f t="array" ref="I169">SUM(IF("155"&amp;C169=KHC&amp;MH,SL))</f>
        <v>2400</v>
      </c>
      <c r="J169" s="744">
        <f t="array" ref="J169">SUM(IF("155"&amp;C169=KHC&amp;MH,TH))</f>
        <v>7715866</v>
      </c>
      <c r="K169" s="725">
        <f t="shared" si="24"/>
        <v>0</v>
      </c>
      <c r="L169" s="725">
        <f t="shared" si="25"/>
        <v>0</v>
      </c>
    </row>
    <row r="170" spans="1:12" s="751" customFormat="1" ht="19.5" customHeight="1">
      <c r="A170" s="453" t="str">
        <f t="shared" si="26"/>
        <v>TP</v>
      </c>
      <c r="B170" s="770">
        <f t="shared" si="27"/>
        <v>146</v>
      </c>
      <c r="C170" s="773" t="s">
        <v>931</v>
      </c>
      <c r="D170" s="772" t="s">
        <v>970</v>
      </c>
      <c r="E170" s="725"/>
      <c r="F170" s="725"/>
      <c r="G170" s="744">
        <f t="array" ref="G170">SUM(IF("155"&amp;C170=KHN&amp;MH,SL))</f>
        <v>244</v>
      </c>
      <c r="H170" s="744">
        <f t="array" ref="H170">SUM(IF("155"&amp;C170=KHN&amp;MH,TH))</f>
        <v>148521</v>
      </c>
      <c r="I170" s="744">
        <f t="array" ref="I170">SUM(IF("155"&amp;C170=KHC&amp;MH,SL))</f>
        <v>244</v>
      </c>
      <c r="J170" s="744">
        <f t="array" ref="J170">SUM(IF("155"&amp;C170=KHC&amp;MH,TH))</f>
        <v>148521</v>
      </c>
      <c r="K170" s="725">
        <f t="shared" si="24"/>
        <v>0</v>
      </c>
      <c r="L170" s="725">
        <f t="shared" si="25"/>
        <v>0</v>
      </c>
    </row>
    <row r="171" spans="1:12" s="751" customFormat="1" ht="19.5" customHeight="1">
      <c r="A171" s="453" t="str">
        <f t="shared" si="26"/>
        <v>TP</v>
      </c>
      <c r="B171" s="770">
        <f t="shared" si="27"/>
        <v>147</v>
      </c>
      <c r="C171" s="771" t="s">
        <v>930</v>
      </c>
      <c r="D171" s="772" t="s">
        <v>970</v>
      </c>
      <c r="E171" s="725"/>
      <c r="F171" s="725"/>
      <c r="G171" s="744">
        <f t="array" ref="G171">SUM(IF("155"&amp;C171=KHN&amp;MH,SL))</f>
        <v>244</v>
      </c>
      <c r="H171" s="744">
        <f t="array" ref="H171">SUM(IF("155"&amp;C171=KHN&amp;MH,TH))</f>
        <v>185651</v>
      </c>
      <c r="I171" s="744">
        <f t="array" ref="I171">SUM(IF("155"&amp;C171=KHC&amp;MH,SL))</f>
        <v>244</v>
      </c>
      <c r="J171" s="744">
        <f t="array" ref="J171">SUM(IF("155"&amp;C171=KHC&amp;MH,TH))</f>
        <v>185651</v>
      </c>
      <c r="K171" s="725">
        <f t="shared" si="24"/>
        <v>0</v>
      </c>
      <c r="L171" s="725">
        <f t="shared" si="25"/>
        <v>0</v>
      </c>
    </row>
    <row r="172" spans="1:12" s="751" customFormat="1" ht="19.5" customHeight="1">
      <c r="A172" s="453" t="str">
        <f t="shared" si="26"/>
        <v>TP</v>
      </c>
      <c r="B172" s="770">
        <f t="shared" si="27"/>
        <v>148</v>
      </c>
      <c r="C172" s="771" t="s">
        <v>929</v>
      </c>
      <c r="D172" s="772" t="s">
        <v>970</v>
      </c>
      <c r="E172" s="725"/>
      <c r="F172" s="725"/>
      <c r="G172" s="744">
        <f t="array" ref="G172">SUM(IF("155"&amp;C172=KHN&amp;MH,SL))</f>
        <v>244</v>
      </c>
      <c r="H172" s="744">
        <f t="array" ref="H172">SUM(IF("155"&amp;C172=KHN&amp;MH,TH))</f>
        <v>241346</v>
      </c>
      <c r="I172" s="744">
        <f t="array" ref="I172">SUM(IF("155"&amp;C172=KHC&amp;MH,SL))</f>
        <v>244</v>
      </c>
      <c r="J172" s="744">
        <f t="array" ref="J172">SUM(IF("155"&amp;C172=KHC&amp;MH,TH))</f>
        <v>241346</v>
      </c>
      <c r="K172" s="725">
        <f t="shared" si="24"/>
        <v>0</v>
      </c>
      <c r="L172" s="725">
        <f t="shared" si="25"/>
        <v>0</v>
      </c>
    </row>
    <row r="173" spans="1:12" s="751" customFormat="1" ht="19.5" customHeight="1">
      <c r="A173" s="453" t="str">
        <f t="shared" ref="A173:A179" si="28">IF(B173&lt;&gt;"","TP","")</f>
        <v>TP</v>
      </c>
      <c r="B173" s="770">
        <f t="shared" ref="B173:B179" si="29">IF(C173&lt;&gt;"",B172+1,"")</f>
        <v>149</v>
      </c>
      <c r="C173" s="773" t="s">
        <v>928</v>
      </c>
      <c r="D173" s="772" t="s">
        <v>970</v>
      </c>
      <c r="E173" s="725"/>
      <c r="F173" s="725"/>
      <c r="G173" s="744">
        <f t="array" ref="G173">SUM(IF("155"&amp;C173=KHN&amp;MH,SL))</f>
        <v>244</v>
      </c>
      <c r="H173" s="744">
        <f t="array" ref="H173">SUM(IF("155"&amp;C173=KHN&amp;MH,TH))</f>
        <v>278477</v>
      </c>
      <c r="I173" s="744">
        <f t="array" ref="I173">SUM(IF("155"&amp;C173=KHC&amp;MH,SL))</f>
        <v>244</v>
      </c>
      <c r="J173" s="744">
        <f t="array" ref="J173">SUM(IF("155"&amp;C173=KHC&amp;MH,TH))</f>
        <v>278477</v>
      </c>
      <c r="K173" s="725">
        <f t="shared" si="24"/>
        <v>0</v>
      </c>
      <c r="L173" s="725">
        <f t="shared" si="25"/>
        <v>0</v>
      </c>
    </row>
    <row r="174" spans="1:12" s="751" customFormat="1" ht="19.5" customHeight="1">
      <c r="A174" s="453" t="str">
        <f t="shared" si="28"/>
        <v>TP</v>
      </c>
      <c r="B174" s="770">
        <f t="shared" si="29"/>
        <v>150</v>
      </c>
      <c r="C174" s="774" t="s">
        <v>1083</v>
      </c>
      <c r="D174" s="772" t="s">
        <v>970</v>
      </c>
      <c r="E174" s="725"/>
      <c r="F174" s="725"/>
      <c r="G174" s="744">
        <f t="array" ref="G174">SUM(IF("155"&amp;C174=KHN&amp;MH,SL))</f>
        <v>7250</v>
      </c>
      <c r="H174" s="744">
        <f t="array" ref="H174">SUM(IF("155"&amp;C174=KHN&amp;MH,TH))</f>
        <v>15445566</v>
      </c>
      <c r="I174" s="744">
        <f t="array" ref="I174">SUM(IF("155"&amp;C174=KHC&amp;MH,SL))</f>
        <v>7250</v>
      </c>
      <c r="J174" s="744">
        <f t="array" ref="J174">SUM(IF("155"&amp;C174=KHC&amp;MH,TH))</f>
        <v>15445566</v>
      </c>
      <c r="K174" s="725">
        <f t="shared" si="24"/>
        <v>0</v>
      </c>
      <c r="L174" s="725">
        <f t="shared" si="25"/>
        <v>0</v>
      </c>
    </row>
    <row r="175" spans="1:12" s="751" customFormat="1" ht="19.5" customHeight="1">
      <c r="A175" s="453" t="str">
        <f t="shared" si="28"/>
        <v>TP</v>
      </c>
      <c r="B175" s="770">
        <f t="shared" si="29"/>
        <v>151</v>
      </c>
      <c r="C175" s="774" t="s">
        <v>1084</v>
      </c>
      <c r="D175" s="772" t="s">
        <v>970</v>
      </c>
      <c r="E175" s="725"/>
      <c r="F175" s="725"/>
      <c r="G175" s="744">
        <f t="array" ref="G175">SUM(IF("155"&amp;C175=KHN&amp;MH,SL))</f>
        <v>9730</v>
      </c>
      <c r="H175" s="744">
        <f t="array" ref="H175">SUM(IF("155"&amp;C175=KHN&amp;MH,TH))</f>
        <v>16287083</v>
      </c>
      <c r="I175" s="744">
        <f t="array" ref="I175">SUM(IF("155"&amp;C175=KHC&amp;MH,SL))</f>
        <v>9730</v>
      </c>
      <c r="J175" s="744">
        <f t="array" ref="J175">SUM(IF("155"&amp;C175=KHC&amp;MH,TH))</f>
        <v>16287083</v>
      </c>
      <c r="K175" s="725">
        <f t="shared" si="24"/>
        <v>0</v>
      </c>
      <c r="L175" s="725">
        <f t="shared" si="25"/>
        <v>0</v>
      </c>
    </row>
    <row r="176" spans="1:12" s="751" customFormat="1" ht="19.5" customHeight="1">
      <c r="A176" s="453" t="str">
        <f t="shared" si="28"/>
        <v>TP</v>
      </c>
      <c r="B176" s="770">
        <f t="shared" si="29"/>
        <v>152</v>
      </c>
      <c r="C176" s="774" t="s">
        <v>1085</v>
      </c>
      <c r="D176" s="772" t="s">
        <v>970</v>
      </c>
      <c r="E176" s="725"/>
      <c r="F176" s="725"/>
      <c r="G176" s="744">
        <f t="array" ref="G176">SUM(IF("155"&amp;C176=KHN&amp;MH,SL))</f>
        <v>375</v>
      </c>
      <c r="H176" s="744">
        <f t="array" ref="H176">SUM(IF("155"&amp;C176=KHN&amp;MH,TH))</f>
        <v>142662</v>
      </c>
      <c r="I176" s="744">
        <f t="array" ref="I176">SUM(IF("155"&amp;C176=KHC&amp;MH,SL))</f>
        <v>375</v>
      </c>
      <c r="J176" s="744">
        <f t="array" ref="J176">SUM(IF("155"&amp;C176=KHC&amp;MH,TH))</f>
        <v>142662</v>
      </c>
      <c r="K176" s="725">
        <f t="shared" si="24"/>
        <v>0</v>
      </c>
      <c r="L176" s="725">
        <f t="shared" si="25"/>
        <v>0</v>
      </c>
    </row>
    <row r="177" spans="1:12" s="751" customFormat="1" ht="19.5" customHeight="1">
      <c r="A177" s="453" t="str">
        <f t="shared" si="28"/>
        <v>TP</v>
      </c>
      <c r="B177" s="770">
        <f t="shared" si="29"/>
        <v>153</v>
      </c>
      <c r="C177" s="774" t="s">
        <v>1086</v>
      </c>
      <c r="D177" s="772" t="s">
        <v>970</v>
      </c>
      <c r="E177" s="725"/>
      <c r="F177" s="725"/>
      <c r="G177" s="744">
        <f t="array" ref="G177">SUM(IF("155"&amp;C177=KHN&amp;MH,SL))</f>
        <v>500</v>
      </c>
      <c r="H177" s="744">
        <f t="array" ref="H177">SUM(IF("155"&amp;C177=KHN&amp;MH,TH))</f>
        <v>10956460</v>
      </c>
      <c r="I177" s="744">
        <f t="array" ref="I177">SUM(IF("155"&amp;C177=KHC&amp;MH,SL))</f>
        <v>500</v>
      </c>
      <c r="J177" s="744">
        <f t="array" ref="J177">SUM(IF("155"&amp;C177=KHC&amp;MH,TH))</f>
        <v>10956460</v>
      </c>
      <c r="K177" s="725">
        <f t="shared" si="24"/>
        <v>0</v>
      </c>
      <c r="L177" s="725">
        <f t="shared" si="25"/>
        <v>0</v>
      </c>
    </row>
    <row r="178" spans="1:12" s="751" customFormat="1" ht="19.5" customHeight="1">
      <c r="A178" s="453" t="str">
        <f t="shared" si="28"/>
        <v>TP</v>
      </c>
      <c r="B178" s="770">
        <f t="shared" si="29"/>
        <v>154</v>
      </c>
      <c r="C178" s="774" t="s">
        <v>1087</v>
      </c>
      <c r="D178" s="772" t="s">
        <v>970</v>
      </c>
      <c r="E178" s="725"/>
      <c r="F178" s="725"/>
      <c r="G178" s="744">
        <f t="array" ref="G178">SUM(IF("155"&amp;C178=KHN&amp;MH,SL))</f>
        <v>2375</v>
      </c>
      <c r="H178" s="744">
        <f t="array" ref="H178">SUM(IF("155"&amp;C178=KHN&amp;MH,TH))</f>
        <v>2891288</v>
      </c>
      <c r="I178" s="744">
        <f t="array" ref="I178">SUM(IF("155"&amp;C178=KHC&amp;MH,SL))</f>
        <v>2375</v>
      </c>
      <c r="J178" s="744">
        <f t="array" ref="J178">SUM(IF("155"&amp;C178=KHC&amp;MH,TH))</f>
        <v>2891288</v>
      </c>
      <c r="K178" s="725">
        <f t="shared" si="24"/>
        <v>0</v>
      </c>
      <c r="L178" s="725">
        <f t="shared" si="25"/>
        <v>0</v>
      </c>
    </row>
    <row r="179" spans="1:12" s="751" customFormat="1" ht="19.5" customHeight="1">
      <c r="A179" s="453" t="str">
        <f t="shared" si="28"/>
        <v>TP</v>
      </c>
      <c r="B179" s="770">
        <f t="shared" si="29"/>
        <v>155</v>
      </c>
      <c r="C179" s="774" t="s">
        <v>1088</v>
      </c>
      <c r="D179" s="772" t="s">
        <v>970</v>
      </c>
      <c r="E179" s="725"/>
      <c r="F179" s="725"/>
      <c r="G179" s="744">
        <f t="array" ref="G179">SUM(IF("155"&amp;C179=KHN&amp;MH,SL))</f>
        <v>200</v>
      </c>
      <c r="H179" s="744">
        <f t="array" ref="H179">SUM(IF("155"&amp;C179=KHN&amp;MH,TH))</f>
        <v>547823</v>
      </c>
      <c r="I179" s="744">
        <f t="array" ref="I179">SUM(IF("155"&amp;C179=KHC&amp;MH,SL))</f>
        <v>200</v>
      </c>
      <c r="J179" s="744">
        <f t="array" ref="J179">SUM(IF("155"&amp;C179=KHC&amp;MH,TH))</f>
        <v>547823</v>
      </c>
      <c r="K179" s="725">
        <f t="shared" ref="K179:K180" si="30">E179+G179-I179</f>
        <v>0</v>
      </c>
      <c r="L179" s="725">
        <f t="shared" ref="L179:L180" si="31">F179+H179-J179</f>
        <v>0</v>
      </c>
    </row>
    <row r="180" spans="1:12" s="751" customFormat="1" ht="19.5" customHeight="1">
      <c r="A180" s="453" t="str">
        <f t="shared" ref="A180" si="32">IF(B180&lt;&gt;"","TP","")</f>
        <v>TP</v>
      </c>
      <c r="B180" s="770">
        <f t="shared" ref="B180" si="33">IF(C180&lt;&gt;"",B179+1,"")</f>
        <v>156</v>
      </c>
      <c r="C180" s="774" t="s">
        <v>1089</v>
      </c>
      <c r="D180" s="772" t="s">
        <v>970</v>
      </c>
      <c r="E180" s="725"/>
      <c r="F180" s="725"/>
      <c r="G180" s="744">
        <f t="array" ref="G180">SUM(IF("155"&amp;C180=KHN&amp;MH,SL))</f>
        <v>2000</v>
      </c>
      <c r="H180" s="744">
        <f t="array" ref="H180">SUM(IF("155"&amp;C180=KHN&amp;MH,TH))</f>
        <v>2130423</v>
      </c>
      <c r="I180" s="744">
        <f t="array" ref="I180">SUM(IF("155"&amp;C180=KHC&amp;MH,SL))</f>
        <v>2000</v>
      </c>
      <c r="J180" s="744">
        <f t="array" ref="J180">SUM(IF("155"&amp;C180=KHC&amp;MH,TH))</f>
        <v>2130423</v>
      </c>
      <c r="K180" s="725">
        <f t="shared" si="30"/>
        <v>0</v>
      </c>
      <c r="L180" s="725">
        <f t="shared" si="31"/>
        <v>0</v>
      </c>
    </row>
    <row r="181" spans="1:12" s="751" customFormat="1" ht="18.75" customHeight="1">
      <c r="A181" s="453"/>
      <c r="B181" s="770"/>
      <c r="C181" s="773"/>
      <c r="D181" s="772"/>
      <c r="E181" s="725"/>
      <c r="F181" s="725"/>
      <c r="G181" s="744"/>
      <c r="H181" s="744"/>
      <c r="I181" s="744"/>
      <c r="J181" s="744"/>
      <c r="K181" s="725"/>
      <c r="L181" s="725"/>
    </row>
    <row r="182" spans="1:12" s="751" customFormat="1" ht="19.5" customHeight="1">
      <c r="A182" s="453" t="str">
        <f t="shared" ref="A182" si="34">IF(B182&lt;&gt;"","TP","")</f>
        <v/>
      </c>
      <c r="B182" s="755"/>
      <c r="C182" s="762" t="s">
        <v>192</v>
      </c>
      <c r="D182" s="755"/>
      <c r="E182" s="733">
        <f t="shared" ref="E182:L182" si="35">SUM(E25:E181)</f>
        <v>0</v>
      </c>
      <c r="F182" s="733">
        <f t="shared" si="35"/>
        <v>0</v>
      </c>
      <c r="G182" s="733">
        <f t="shared" si="35"/>
        <v>219419</v>
      </c>
      <c r="H182" s="733">
        <f t="shared" si="35"/>
        <v>1444698200</v>
      </c>
      <c r="I182" s="733">
        <f t="shared" si="35"/>
        <v>219419</v>
      </c>
      <c r="J182" s="733">
        <f t="shared" si="35"/>
        <v>1444698200</v>
      </c>
      <c r="K182" s="733">
        <f t="shared" si="35"/>
        <v>0</v>
      </c>
      <c r="L182" s="733">
        <f t="shared" si="35"/>
        <v>0</v>
      </c>
    </row>
    <row r="183" spans="1:12" s="751" customFormat="1" ht="18.75" customHeight="1">
      <c r="A183" s="453"/>
      <c r="B183" s="764"/>
      <c r="C183" s="764"/>
      <c r="D183" s="763"/>
      <c r="E183" s="765"/>
      <c r="F183" s="765">
        <f>F182-CDPS!C23</f>
        <v>0</v>
      </c>
      <c r="G183" s="765"/>
      <c r="H183" s="765">
        <f>H182-CDPS!E23</f>
        <v>0</v>
      </c>
      <c r="I183" s="765"/>
      <c r="J183" s="765">
        <f>J182-CDPS!F23</f>
        <v>0</v>
      </c>
      <c r="K183" s="765"/>
      <c r="L183" s="765">
        <f>L182-CDPS!H23</f>
        <v>0</v>
      </c>
    </row>
    <row r="184" spans="1:12" s="751" customFormat="1" ht="18.75" customHeight="1">
      <c r="D184" s="754"/>
      <c r="E184" s="775"/>
      <c r="F184" s="775"/>
      <c r="G184" s="453"/>
      <c r="H184" s="453"/>
      <c r="I184" s="453"/>
      <c r="J184" s="453"/>
      <c r="K184" s="453"/>
      <c r="L184" s="453"/>
    </row>
    <row r="185" spans="1:12" s="751" customFormat="1" ht="19.5" customHeight="1">
      <c r="D185" s="754"/>
      <c r="E185" s="775"/>
      <c r="F185" s="775"/>
      <c r="G185" s="453"/>
      <c r="H185" s="453"/>
      <c r="I185" s="453"/>
      <c r="J185" s="453"/>
      <c r="K185" s="453"/>
      <c r="L185" s="453"/>
    </row>
    <row r="186" spans="1:12" s="751" customFormat="1" ht="19.5" customHeight="1">
      <c r="C186" s="869"/>
      <c r="D186" s="869"/>
      <c r="E186" s="869"/>
      <c r="F186" s="164"/>
      <c r="G186" s="164"/>
      <c r="H186" s="164"/>
      <c r="I186" s="164"/>
      <c r="J186" s="869" t="str">
        <f>"Ngày 31 tháng  12  năm  "&amp;YEAR(TH!$C$10)</f>
        <v>Ngày 31 tháng  12  năm  2016</v>
      </c>
      <c r="K186" s="869"/>
      <c r="L186" s="869"/>
    </row>
    <row r="187" spans="1:12" s="751" customFormat="1" ht="19.5" customHeight="1">
      <c r="C187" s="368"/>
      <c r="D187" s="368"/>
      <c r="E187" s="368"/>
      <c r="F187" s="869"/>
      <c r="G187" s="869"/>
      <c r="H187" s="869"/>
      <c r="I187" s="164"/>
      <c r="J187" s="869" t="s">
        <v>104</v>
      </c>
      <c r="K187" s="869"/>
      <c r="L187" s="869"/>
    </row>
    <row r="188" spans="1:12" s="751" customFormat="1" ht="19.5" customHeight="1">
      <c r="C188" s="368"/>
      <c r="D188" s="368"/>
      <c r="E188" s="368"/>
      <c r="F188" s="869"/>
      <c r="G188" s="869"/>
      <c r="H188" s="869"/>
      <c r="J188" s="869" t="s">
        <v>131</v>
      </c>
      <c r="K188" s="869"/>
      <c r="L188" s="869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  <mergeCell ref="H1:L1"/>
    <mergeCell ref="B4:L4"/>
    <mergeCell ref="B5:L5"/>
    <mergeCell ref="H2:L3"/>
    <mergeCell ref="B2:G3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65" customWidth="1"/>
    <col min="2" max="2" width="29.7109375" style="165" customWidth="1"/>
    <col min="3" max="3" width="5.7109375" style="165" customWidth="1"/>
    <col min="4" max="4" width="6.7109375" style="165" customWidth="1"/>
    <col min="5" max="5" width="12.7109375" style="165" customWidth="1"/>
    <col min="6" max="6" width="9.85546875" style="165" customWidth="1"/>
    <col min="7" max="7" width="11" style="165" customWidth="1"/>
    <col min="8" max="8" width="14" style="165" customWidth="1"/>
    <col min="9" max="9" width="4.28515625" style="165" customWidth="1"/>
    <col min="10" max="10" width="7.5703125" style="165" customWidth="1"/>
    <col min="11" max="11" width="3.140625" style="165" customWidth="1"/>
    <col min="12" max="12" width="5.7109375" style="165" customWidth="1"/>
    <col min="13" max="13" width="2.7109375" style="165" customWidth="1"/>
    <col min="14" max="14" width="4" style="165" customWidth="1"/>
    <col min="15" max="15" width="3.7109375" style="165" customWidth="1"/>
    <col min="16" max="16384" width="9.140625" style="165"/>
  </cols>
  <sheetData>
    <row r="1" spans="1:17" ht="5.25" hidden="1" customHeight="1"/>
    <row r="2" spans="1:17" s="419" customFormat="1" ht="12" customHeight="1">
      <c r="A2" s="418" t="str">
        <f>TH!A1</f>
        <v>Đơn vị: CÔNG TY TNHH BAO BÌ GIẤY KIM DUNG PHÁT</v>
      </c>
      <c r="G2" s="420" t="str">
        <f>+IF(LEFT($D$7,1)="N","Mẫu số 01 - VT","Mẫu số 02 - VT")</f>
        <v>Mẫu số 02 - VT</v>
      </c>
    </row>
    <row r="3" spans="1:17" s="419" customFormat="1" ht="12" customHeight="1">
      <c r="A3" s="421" t="str">
        <f>TH!A2</f>
        <v>Địa chỉ: Ấp Rừng Sến, xã Mỹ Hạnh Bắc, Huyện Đức Hòa, Tỉnh Long An, Việt Nam</v>
      </c>
      <c r="G3" s="38" t="str">
        <f ca="1">IF(INT(RIGHT($D$6,4))&gt;=2015,"(Ban hành theo Thông tư số 200/2014/TT-BTC ","(Ban hành kèm theo QĐ 48/2006/QĐ-BTC")</f>
        <v xml:space="preserve">(Ban hành theo Thông tư số 200/2014/TT-BTC </v>
      </c>
      <c r="N3" s="420" t="s">
        <v>99</v>
      </c>
      <c r="O3" s="422"/>
      <c r="P3" s="423">
        <f>IF(J5="Quý I",1,IF(J5="Quý II",4,IF(J5="Quý III",7,IF(J5="Quý IV",10,""))))</f>
        <v>10</v>
      </c>
      <c r="Q3" s="423">
        <f>IF(J5="Quý I",3,IF(J5="Quý II",6,IF(J5="Quý III",9,IF(J5="Quý IV",12,""))))</f>
        <v>12</v>
      </c>
    </row>
    <row r="4" spans="1:17" s="419" customFormat="1" ht="12" customHeight="1" thickBot="1">
      <c r="G4" s="38" t="str">
        <f ca="1">IF(INT(RIGHT($D$6,4))&gt;=2015,"Ngày 22/12/2014 của Bộ Tài chính)","ngày 24/09/2006 của Bộ trưởng BTC)")</f>
        <v>Ngày 22/12/2014 của Bộ Tài chính)</v>
      </c>
      <c r="J4" s="424"/>
      <c r="M4" s="425"/>
      <c r="N4" s="420" t="s">
        <v>100</v>
      </c>
      <c r="O4" s="422"/>
    </row>
    <row r="5" spans="1:17" ht="18" customHeight="1" thickBot="1">
      <c r="D5" s="169" t="str">
        <f>+IF(LEFT($L$5,1)="N","PHIẾU NHẬP KHO","PHIẾU XUẤT KHO")</f>
        <v>PHIẾU XUẤT KHO</v>
      </c>
      <c r="J5" s="415" t="s">
        <v>359</v>
      </c>
      <c r="K5" s="170"/>
      <c r="L5" s="416" t="s">
        <v>1090</v>
      </c>
      <c r="M5" s="171"/>
      <c r="N5" s="417">
        <v>73</v>
      </c>
      <c r="O5" s="166"/>
      <c r="P5" s="166"/>
    </row>
    <row r="6" spans="1:17" ht="10.5" customHeight="1">
      <c r="D6" s="427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428"/>
      <c r="M6" s="168"/>
      <c r="O6" s="166"/>
    </row>
    <row r="7" spans="1:17" ht="10.5" customHeight="1">
      <c r="C7" s="429" t="str">
        <f xml:space="preserve"> "Số:"</f>
        <v>Số:</v>
      </c>
      <c r="D7" s="430" t="str">
        <f xml:space="preserve"> RIGHT($L$5,2)&amp;"/"&amp;LEFT($L$5,1)&amp;IF($N$5&gt;=10,$N$5,"0"&amp;$N$5)</f>
        <v>TP/X73</v>
      </c>
      <c r="G7" s="165" t="str">
        <f ca="1">"Nợ:  "&amp;IF(ROWS($1:1)&gt;COUNT(Dong10),"",OFFSET(TH!L$1,SMALL(Dong10,ROWS($1:1)),))</f>
        <v>Nợ:  131</v>
      </c>
      <c r="M7" s="168"/>
      <c r="O7" s="166"/>
    </row>
    <row r="8" spans="1:17" ht="10.5" customHeight="1">
      <c r="D8" s="38"/>
      <c r="G8" s="165" t="str">
        <f ca="1">"Có:  "&amp;IF(ROWS($1:1)&gt;COUNT(Dong10),"",OFFSET(TH!M$1,SMALL(Dong10,ROWS($1:1)),))</f>
        <v>Có:  5112</v>
      </c>
      <c r="M8" s="168"/>
      <c r="O8" s="431"/>
    </row>
    <row r="9" spans="1:17" ht="11.25" customHeight="1">
      <c r="A9" s="16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68"/>
    </row>
    <row r="10" spans="1:17" ht="11.25" customHeight="1">
      <c r="A10" s="16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6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65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904" t="s">
        <v>34</v>
      </c>
      <c r="B14" s="904" t="s">
        <v>193</v>
      </c>
      <c r="C14" s="904" t="s">
        <v>194</v>
      </c>
      <c r="D14" s="904" t="s">
        <v>185</v>
      </c>
      <c r="E14" s="906" t="s">
        <v>195</v>
      </c>
      <c r="F14" s="906"/>
      <c r="G14" s="904" t="s">
        <v>196</v>
      </c>
      <c r="H14" s="904" t="s">
        <v>197</v>
      </c>
    </row>
    <row r="15" spans="1:17" ht="12.75" customHeight="1">
      <c r="A15" s="905"/>
      <c r="B15" s="905"/>
      <c r="C15" s="905"/>
      <c r="D15" s="905"/>
      <c r="E15" s="432" t="s">
        <v>198</v>
      </c>
      <c r="F15" s="432" t="str">
        <f>IF(LEFT($D$7,1)="N","Thực nhập","Thực xuất")</f>
        <v>Thực xuất</v>
      </c>
      <c r="G15" s="905"/>
      <c r="H15" s="905"/>
    </row>
    <row r="16" spans="1:17" s="38" customFormat="1" ht="8.25" customHeight="1">
      <c r="A16" s="433" t="s">
        <v>2</v>
      </c>
      <c r="B16" s="433" t="s">
        <v>3</v>
      </c>
      <c r="C16" s="433" t="s">
        <v>4</v>
      </c>
      <c r="D16" s="433" t="s">
        <v>5</v>
      </c>
      <c r="E16" s="433">
        <v>1</v>
      </c>
      <c r="F16" s="433">
        <v>2</v>
      </c>
      <c r="G16" s="433">
        <v>3</v>
      </c>
      <c r="H16" s="433">
        <v>4</v>
      </c>
    </row>
    <row r="17" spans="1:8" ht="11.25" customHeight="1">
      <c r="A17" s="434">
        <f ca="1">IF(B17="","",ROW()-16)</f>
        <v>1</v>
      </c>
      <c r="B17" s="435" t="str">
        <f ca="1">IF(ROWS($1:1)&gt;COUNT(Dong10),"",OFFSET(TH!F$1,SMALL(Dong10,ROWS($1:1)),))</f>
        <v>Thùng carton (45x37x27.5)</v>
      </c>
      <c r="C17" s="436"/>
      <c r="D17" s="437" t="str">
        <f ca="1">IF(ISNA(VLOOKUP(B17,NXT!$C$9:$D$181,2,0)),"",VLOOKUP(B17,NXT!$C$9:$D$181,2,0))</f>
        <v>cái</v>
      </c>
      <c r="E17" s="438"/>
      <c r="F17" s="439">
        <f ca="1">IF(ROWS($1:1)&gt;COUNT(Dong10),"",OFFSET(TH!I$1,SMALL(Dong10,ROWS($1:1)),))</f>
        <v>1808</v>
      </c>
      <c r="G17" s="439">
        <f ca="1">IF(ROWS($1:1)&gt;COUNT(Dong10),"",OFFSET(TH!J$1,SMALL(Dong10,ROWS($1:1)),))</f>
        <v>13800</v>
      </c>
      <c r="H17" s="438">
        <f ca="1">IF(F17&lt;&gt;"",ROUND(F17*G17,0),0)</f>
        <v>24950400</v>
      </c>
    </row>
    <row r="18" spans="1:8" ht="11.25" customHeight="1">
      <c r="A18" s="434">
        <f t="shared" ref="A18:A20" ca="1" si="0">IF(B18="","",A17+1)</f>
        <v>2</v>
      </c>
      <c r="B18" s="435" t="str">
        <f ca="1">IF(ROWS($1:2)&gt;COUNT(Dong10),"",OFFSET(TH!F$1,SMALL(Dong10,ROWS($1:2)),))</f>
        <v>Tấm lót (44x20)</v>
      </c>
      <c r="C18" s="436"/>
      <c r="D18" s="437" t="str">
        <f ca="1">IF(ISNA(VLOOKUP(B18,NXT!$C$9:$D$181,2,0)),"",VLOOKUP(B18,NXT!$C$9:$D$181,2,0))</f>
        <v>tấm</v>
      </c>
      <c r="E18" s="438"/>
      <c r="F18" s="439">
        <f ca="1">IF(ROWS($1:2)&gt;COUNT(Dong10),"",OFFSET(TH!I$1,SMALL(Dong10,ROWS($1:2)),))</f>
        <v>3616</v>
      </c>
      <c r="G18" s="439">
        <f ca="1">IF(ROWS($1:2)&gt;COUNT(Dong10),"",OFFSET(TH!J$1,SMALL(Dong10,ROWS($1:2)),))</f>
        <v>1300</v>
      </c>
      <c r="H18" s="438">
        <f t="shared" ref="H18:H24" ca="1" si="1">IF(F18&lt;&gt;"",ROUND(F18*G18,0),0)</f>
        <v>4700800</v>
      </c>
    </row>
    <row r="19" spans="1:8" ht="11.25" customHeight="1">
      <c r="A19" s="434" t="str">
        <f t="shared" ca="1" si="0"/>
        <v/>
      </c>
      <c r="B19" s="435" t="str">
        <f ca="1">IF(ROWS($1:3)&gt;COUNT(Dong10),"",OFFSET(TH!F$1,SMALL(Dong10,ROWS($1:3)),))</f>
        <v/>
      </c>
      <c r="C19" s="436"/>
      <c r="D19" s="437" t="str">
        <f ca="1">IF(ISNA(VLOOKUP(B19,NXT!$C$9:$D$181,2,0)),"",VLOOKUP(B19,NXT!$C$9:$D$181,2,0))</f>
        <v/>
      </c>
      <c r="E19" s="438"/>
      <c r="F19" s="439" t="str">
        <f ca="1">IF(ROWS($1:3)&gt;COUNT(Dong10),"",OFFSET(TH!I$1,SMALL(Dong10,ROWS($1:3)),))</f>
        <v/>
      </c>
      <c r="G19" s="439" t="str">
        <f ca="1">IF(ROWS($1:3)&gt;COUNT(Dong10),"",OFFSET(TH!J$1,SMALL(Dong10,ROWS($1:3)),))</f>
        <v/>
      </c>
      <c r="H19" s="438">
        <f t="shared" ca="1" si="1"/>
        <v>0</v>
      </c>
    </row>
    <row r="20" spans="1:8" ht="11.25" customHeight="1">
      <c r="A20" s="434" t="str">
        <f t="shared" ca="1" si="0"/>
        <v/>
      </c>
      <c r="B20" s="435" t="str">
        <f ca="1">IF(ROWS($1:4)&gt;COUNT(Dong10),"",OFFSET(TH!F$1,SMALL(Dong10,ROWS($1:4)),))</f>
        <v/>
      </c>
      <c r="C20" s="436"/>
      <c r="D20" s="437" t="str">
        <f ca="1">IF(ISNA(VLOOKUP(B20,NXT!$C$9:$D$181,2,0)),"",VLOOKUP(B20,NXT!$C$9:$D$181,2,0))</f>
        <v/>
      </c>
      <c r="E20" s="438"/>
      <c r="F20" s="439" t="str">
        <f ca="1">IF(ROWS($1:4)&gt;COUNT(Dong10),"",OFFSET(TH!I$1,SMALL(Dong10,ROWS($1:4)),))</f>
        <v/>
      </c>
      <c r="G20" s="439" t="str">
        <f ca="1">IF(ROWS($1:4)&gt;COUNT(Dong10),"",OFFSET(TH!J$1,SMALL(Dong10,ROWS($1:4)),))</f>
        <v/>
      </c>
      <c r="H20" s="438">
        <f t="shared" ca="1" si="1"/>
        <v>0</v>
      </c>
    </row>
    <row r="21" spans="1:8" ht="11.25" customHeight="1">
      <c r="A21" s="434" t="str">
        <f t="shared" ref="A21:A23" ca="1" si="2">IF(B21="","",A20+1)</f>
        <v/>
      </c>
      <c r="B21" s="435" t="str">
        <f ca="1">IF(ROWS($1:5)&gt;COUNT(Dong10),"",OFFSET(TH!F$1,SMALL(Dong10,ROWS($1:5)),))</f>
        <v/>
      </c>
      <c r="C21" s="436"/>
      <c r="D21" s="437" t="str">
        <f ca="1">IF(ISNA(VLOOKUP(B21,NXT!$C$9:$D$181,2,0)),"",VLOOKUP(B21,NXT!$C$9:$D$181,2,0))</f>
        <v/>
      </c>
      <c r="E21" s="438"/>
      <c r="F21" s="439" t="str">
        <f ca="1">IF(ROWS($1:5)&gt;COUNT(Dong10),"",OFFSET(TH!I$1,SMALL(Dong10,ROWS($1:5)),))</f>
        <v/>
      </c>
      <c r="G21" s="439" t="str">
        <f ca="1">IF(ROWS($1:5)&gt;COUNT(Dong10),"",OFFSET(TH!J$1,SMALL(Dong10,ROWS($1:5)),))</f>
        <v/>
      </c>
      <c r="H21" s="438">
        <f t="shared" ca="1" si="1"/>
        <v>0</v>
      </c>
    </row>
    <row r="22" spans="1:8" ht="11.25" customHeight="1">
      <c r="A22" s="434" t="str">
        <f t="shared" ca="1" si="2"/>
        <v/>
      </c>
      <c r="B22" s="435" t="str">
        <f ca="1">IF(ROWS($1:6)&gt;COUNT(Dong10),"",OFFSET(TH!F$1,SMALL(Dong10,ROWS($1:6)),))</f>
        <v/>
      </c>
      <c r="C22" s="436"/>
      <c r="D22" s="437" t="str">
        <f ca="1">IF(ISNA(VLOOKUP(B22,NXT!$C$9:$D$181,2,0)),"",VLOOKUP(B22,NXT!$C$9:$D$181,2,0))</f>
        <v/>
      </c>
      <c r="E22" s="438"/>
      <c r="F22" s="439" t="str">
        <f ca="1">IF(ROWS($1:6)&gt;COUNT(Dong10),"",OFFSET(TH!I$1,SMALL(Dong10,ROWS($1:6)),))</f>
        <v/>
      </c>
      <c r="G22" s="439" t="str">
        <f ca="1">IF(ROWS($1:6)&gt;COUNT(Dong10),"",OFFSET(TH!J$1,SMALL(Dong10,ROWS($1:6)),))</f>
        <v/>
      </c>
      <c r="H22" s="438">
        <f t="shared" ca="1" si="1"/>
        <v>0</v>
      </c>
    </row>
    <row r="23" spans="1:8" ht="11.25" customHeight="1">
      <c r="A23" s="434" t="str">
        <f t="shared" ca="1" si="2"/>
        <v/>
      </c>
      <c r="B23" s="435" t="str">
        <f ca="1">IF(ROWS($1:7)&gt;COUNT(Dong10),"",OFFSET(TH!F$1,SMALL(Dong10,ROWS($1:7)),))</f>
        <v/>
      </c>
      <c r="C23" s="436"/>
      <c r="D23" s="437" t="str">
        <f ca="1">IF(ISNA(VLOOKUP(B23,NXT!$C$9:$D$181,2,0)),"",VLOOKUP(B23,NXT!$C$9:$D$181,2,0))</f>
        <v/>
      </c>
      <c r="E23" s="438"/>
      <c r="F23" s="439" t="str">
        <f ca="1">IF(ROWS($1:7)&gt;COUNT(Dong10),"",OFFSET(TH!I$1,SMALL(Dong10,ROWS($1:7)),))</f>
        <v/>
      </c>
      <c r="G23" s="439" t="str">
        <f ca="1">IF(ROWS($1:7)&gt;COUNT(Dong10),"",OFFSET(TH!J$1,SMALL(Dong10,ROWS($1:7)),))</f>
        <v/>
      </c>
      <c r="H23" s="438">
        <f t="shared" ca="1" si="1"/>
        <v>0</v>
      </c>
    </row>
    <row r="24" spans="1:8" ht="11.25" customHeight="1">
      <c r="A24" s="434" t="str">
        <f t="shared" ref="A24" ca="1" si="3">IF(B24="","",A23+1)</f>
        <v/>
      </c>
      <c r="B24" s="435" t="str">
        <f ca="1">IF(ROWS($1:8)&gt;COUNT(Dong10),"",OFFSET(TH!F$1,SMALL(Dong10,ROWS($1:8)),))</f>
        <v/>
      </c>
      <c r="C24" s="436"/>
      <c r="D24" s="437" t="str">
        <f ca="1">IF(ISNA(VLOOKUP(B24,NXT!$C$9:$D$181,2,0)),"",VLOOKUP(B24,NXT!$C$9:$D$181,2,0))</f>
        <v/>
      </c>
      <c r="E24" s="438"/>
      <c r="F24" s="439" t="str">
        <f ca="1">IF(ROWS($1:8)&gt;COUNT(Dong10),"",OFFSET(TH!I$1,SMALL(Dong10,ROWS($1:8)),))</f>
        <v/>
      </c>
      <c r="G24" s="439" t="str">
        <f ca="1">IF(ROWS($1:8)&gt;COUNT(Dong10),"",OFFSET(TH!J$1,SMALL(Dong10,ROWS($1:8)),))</f>
        <v/>
      </c>
      <c r="H24" s="438">
        <f t="shared" ca="1" si="1"/>
        <v>0</v>
      </c>
    </row>
    <row r="25" spans="1:8" ht="11.25" customHeight="1">
      <c r="A25" s="434" t="str">
        <f t="shared" ref="A25" ca="1" si="4">IF(B25="","",A24+1)</f>
        <v/>
      </c>
      <c r="B25" s="435" t="str">
        <f ca="1">IF(ROWS($1:9)&gt;COUNT(Dong10),"",OFFSET(TH!F$1,SMALL(Dong10,ROWS($1:9)),))</f>
        <v/>
      </c>
      <c r="C25" s="436"/>
      <c r="D25" s="437" t="str">
        <f ca="1">IF(ISNA(VLOOKUP(B25,NXT!$C$9:$D$181,2,0)),"",VLOOKUP(B25,NXT!$C$9:$D$181,2,0))</f>
        <v/>
      </c>
      <c r="E25" s="438"/>
      <c r="F25" s="439" t="str">
        <f ca="1">IF(ROWS($1:9)&gt;COUNT(Dong10),"",OFFSET(TH!I$1,SMALL(Dong10,ROWS($1:9)),))</f>
        <v/>
      </c>
      <c r="G25" s="439" t="str">
        <f ca="1">IF(ROWS($1:9)&gt;COUNT(Dong10),"",OFFSET(TH!J$1,SMALL(Dong10,ROWS($1:9)),))</f>
        <v/>
      </c>
      <c r="H25" s="438">
        <f t="shared" ref="H25" ca="1" si="5">IF(F25&lt;&gt;"",ROUND(F25*G25,0),0)</f>
        <v>0</v>
      </c>
    </row>
    <row r="26" spans="1:8" ht="11.25" customHeight="1">
      <c r="A26" s="434"/>
      <c r="B26" s="435"/>
      <c r="C26" s="436"/>
      <c r="D26" s="437"/>
      <c r="E26" s="438"/>
      <c r="F26" s="439"/>
      <c r="G26" s="440"/>
      <c r="H26" s="438"/>
    </row>
    <row r="27" spans="1:8" ht="11.25" customHeight="1">
      <c r="A27" s="906" t="s">
        <v>199</v>
      </c>
      <c r="B27" s="906"/>
      <c r="C27" s="441"/>
      <c r="D27" s="441"/>
      <c r="E27" s="442"/>
      <c r="F27" s="442"/>
      <c r="G27" s="442"/>
      <c r="H27" s="442">
        <f ca="1">SUM(H17:H26)</f>
        <v>29651200</v>
      </c>
    </row>
    <row r="28" spans="1:8" ht="3" customHeight="1">
      <c r="A28" s="443"/>
      <c r="B28" s="443"/>
      <c r="C28" s="168"/>
      <c r="D28" s="168"/>
      <c r="E28" s="444"/>
      <c r="F28" s="444"/>
      <c r="G28" s="444"/>
      <c r="H28" s="444"/>
    </row>
    <row r="29" spans="1:8" ht="11.25" customHeight="1">
      <c r="A29" s="165" t="e">
        <f ca="1">"Tổng số tiền (viết bằng chữ):  "&amp;[1]!VND(H27, TRUE)</f>
        <v>#NAME?</v>
      </c>
    </row>
    <row r="30" spans="1:8" ht="11.25" customHeight="1">
      <c r="A30" s="165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8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67" customFormat="1" ht="11.25" customHeight="1">
      <c r="A32" s="445" t="s">
        <v>200</v>
      </c>
      <c r="C32" s="41"/>
      <c r="E32" s="41"/>
      <c r="F32" s="4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30" t="s">
        <v>201</v>
      </c>
      <c r="C33" s="38"/>
      <c r="E33" s="38"/>
      <c r="F33" s="3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30" t="str">
        <f>+IF(MID($D$7,4,1)="N","","  (Ký, họ tên)")</f>
        <v xml:space="preserve">  (Ký, họ tên)</v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426" customFormat="1" ht="11.25" customHeight="1"/>
    <row r="39" spans="1:8" ht="11.25" customHeight="1">
      <c r="A39" s="172"/>
      <c r="F39" s="173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75" customFormat="1" ht="15">
      <c r="A1" s="174" t="s">
        <v>202</v>
      </c>
      <c r="O1" s="176"/>
    </row>
    <row r="2" spans="1:17" s="293" customFormat="1" ht="16.5" customHeight="1">
      <c r="B2" s="177" t="str">
        <f>TH!A1</f>
        <v>Đơn vị: CÔNG TY TNHH BAO BÌ GIẤY KIM DUNG PHÁT</v>
      </c>
      <c r="C2" s="178"/>
      <c r="D2" s="179"/>
      <c r="E2" s="180"/>
      <c r="F2" s="2"/>
      <c r="J2" s="913" t="s">
        <v>203</v>
      </c>
      <c r="K2" s="913"/>
      <c r="L2" s="913"/>
      <c r="M2" s="913"/>
      <c r="N2" s="644"/>
    </row>
    <row r="3" spans="1:17" s="293" customFormat="1" ht="16.5" customHeight="1">
      <c r="B3" s="405" t="str">
        <f>TH!A2</f>
        <v>Địa chỉ: Ấp Rừng Sến, xã Mỹ Hạnh Bắc, Huyện Đức Hòa, Tỉnh Long An, Việt Nam</v>
      </c>
      <c r="C3" s="177"/>
      <c r="D3" s="177"/>
      <c r="E3" s="181"/>
      <c r="F3" s="177"/>
      <c r="J3" s="914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14"/>
      <c r="L3" s="914"/>
      <c r="M3" s="914"/>
      <c r="N3" s="645"/>
    </row>
    <row r="4" spans="1:17" s="293" customFormat="1" ht="16.5" customHeight="1">
      <c r="B4" s="177"/>
      <c r="C4" s="177"/>
      <c r="D4" s="177"/>
      <c r="E4" s="181"/>
      <c r="F4" s="177"/>
      <c r="J4" s="914"/>
      <c r="K4" s="914"/>
      <c r="L4" s="914"/>
      <c r="M4" s="914"/>
      <c r="N4" s="645"/>
    </row>
    <row r="5" spans="1:17" s="175" customFormat="1" ht="36.75" customHeight="1">
      <c r="B5" s="915" t="s">
        <v>204</v>
      </c>
      <c r="C5" s="915"/>
      <c r="D5" s="915"/>
      <c r="E5" s="915"/>
      <c r="F5" s="915"/>
      <c r="G5" s="915"/>
      <c r="H5" s="915"/>
      <c r="I5" s="915"/>
      <c r="J5" s="915"/>
      <c r="K5" s="915"/>
      <c r="L5" s="915"/>
      <c r="M5" s="915"/>
      <c r="N5" s="182"/>
    </row>
    <row r="6" spans="1:17" s="175" customFormat="1" ht="15">
      <c r="B6" s="907" t="str">
        <f>"Năm: "&amp; YEAR(TH!$C$12)</f>
        <v>Năm: 2016</v>
      </c>
      <c r="C6" s="907"/>
      <c r="D6" s="907"/>
      <c r="E6" s="907"/>
      <c r="F6" s="907"/>
      <c r="G6" s="907"/>
      <c r="H6" s="907"/>
      <c r="I6" s="907"/>
      <c r="J6" s="907"/>
      <c r="K6" s="907"/>
      <c r="L6" s="907"/>
      <c r="M6" s="907"/>
      <c r="N6" s="647"/>
    </row>
    <row r="7" spans="1:17" s="175" customFormat="1" ht="15">
      <c r="C7" s="183"/>
      <c r="D7" s="183"/>
      <c r="E7" s="647"/>
      <c r="F7" s="184" t="s">
        <v>266</v>
      </c>
      <c r="G7" s="647" t="str">
        <f>IF($O$10="VL","1522",IF($O$10="NL","1521",IF($O$10="TP","155","")))</f>
        <v>1521</v>
      </c>
      <c r="H7" s="184" t="s">
        <v>206</v>
      </c>
      <c r="I7" s="183" t="str">
        <f>IF($O$10="NL","Nguyên Liệu",IF($O$10="TP","Thành Phẩm",IF($O$10="VL","Vật Liệu","")))</f>
        <v>Nguyên Liệu</v>
      </c>
      <c r="J7" s="183"/>
      <c r="K7" s="183"/>
      <c r="L7" s="183"/>
      <c r="M7" s="183"/>
      <c r="N7" s="647"/>
    </row>
    <row r="8" spans="1:17" s="175" customFormat="1" ht="15">
      <c r="B8" s="647"/>
      <c r="C8" s="183"/>
      <c r="D8" s="183"/>
      <c r="E8" s="647"/>
      <c r="F8" s="647" t="s">
        <v>207</v>
      </c>
      <c r="H8" s="183"/>
      <c r="I8" s="183"/>
      <c r="J8" s="916" t="s">
        <v>781</v>
      </c>
      <c r="K8" s="916"/>
      <c r="L8" s="916"/>
      <c r="M8" s="183"/>
      <c r="N8" s="183"/>
    </row>
    <row r="9" spans="1:17" s="175" customFormat="1" ht="15">
      <c r="D9" s="185"/>
      <c r="E9" s="186"/>
      <c r="F9" s="185"/>
      <c r="G9" s="185"/>
      <c r="H9" s="185"/>
      <c r="I9" s="185"/>
      <c r="J9" s="185"/>
      <c r="K9" s="185" t="s">
        <v>118</v>
      </c>
      <c r="M9" s="187"/>
      <c r="N9" s="188"/>
    </row>
    <row r="10" spans="1:17" s="175" customFormat="1" ht="15.75" customHeight="1">
      <c r="A10" s="911" t="s">
        <v>34</v>
      </c>
      <c r="B10" s="912" t="s">
        <v>1</v>
      </c>
      <c r="C10" s="912"/>
      <c r="D10" s="910" t="s">
        <v>0</v>
      </c>
      <c r="E10" s="910" t="s">
        <v>208</v>
      </c>
      <c r="F10" s="910" t="s">
        <v>196</v>
      </c>
      <c r="G10" s="908" t="s">
        <v>209</v>
      </c>
      <c r="H10" s="909"/>
      <c r="I10" s="908" t="s">
        <v>210</v>
      </c>
      <c r="J10" s="909"/>
      <c r="K10" s="908" t="s">
        <v>211</v>
      </c>
      <c r="L10" s="909"/>
      <c r="M10" s="910" t="s">
        <v>122</v>
      </c>
      <c r="N10" s="189"/>
      <c r="O10" s="190" t="s">
        <v>202</v>
      </c>
    </row>
    <row r="11" spans="1:17" s="175" customFormat="1" ht="47.25" customHeight="1">
      <c r="A11" s="911"/>
      <c r="B11" s="191" t="s">
        <v>15</v>
      </c>
      <c r="C11" s="191" t="s">
        <v>31</v>
      </c>
      <c r="D11" s="910"/>
      <c r="E11" s="910"/>
      <c r="F11" s="910"/>
      <c r="G11" s="191" t="s">
        <v>195</v>
      </c>
      <c r="H11" s="191" t="s">
        <v>197</v>
      </c>
      <c r="I11" s="191" t="s">
        <v>195</v>
      </c>
      <c r="J11" s="191" t="s">
        <v>197</v>
      </c>
      <c r="K11" s="191" t="s">
        <v>195</v>
      </c>
      <c r="L11" s="191" t="s">
        <v>197</v>
      </c>
      <c r="M11" s="910"/>
      <c r="N11" s="189"/>
    </row>
    <row r="12" spans="1:17" s="647" customFormat="1" ht="15">
      <c r="A12" s="192"/>
      <c r="B12" s="646" t="s">
        <v>2</v>
      </c>
      <c r="C12" s="648" t="s">
        <v>3</v>
      </c>
      <c r="D12" s="648" t="s">
        <v>4</v>
      </c>
      <c r="E12" s="646" t="s">
        <v>5</v>
      </c>
      <c r="F12" s="646">
        <v>1</v>
      </c>
      <c r="G12" s="646">
        <v>2</v>
      </c>
      <c r="H12" s="646" t="s">
        <v>213</v>
      </c>
      <c r="I12" s="646">
        <v>4</v>
      </c>
      <c r="J12" s="646" t="s">
        <v>214</v>
      </c>
      <c r="K12" s="646">
        <v>6</v>
      </c>
      <c r="L12" s="646" t="s">
        <v>215</v>
      </c>
      <c r="M12" s="646"/>
      <c r="N12" s="193"/>
    </row>
    <row r="13" spans="1:17" s="175" customFormat="1" ht="15">
      <c r="A13" s="194"/>
      <c r="B13" s="194"/>
      <c r="C13" s="194"/>
      <c r="D13" s="195" t="s">
        <v>139</v>
      </c>
      <c r="E13" s="196"/>
      <c r="F13" s="197"/>
      <c r="G13" s="197"/>
      <c r="H13" s="197"/>
      <c r="I13" s="197"/>
      <c r="J13" s="197"/>
      <c r="K13" s="198">
        <f>VLOOKUP($J$8,NXT!$C$9:$L$181,3,0)</f>
        <v>0</v>
      </c>
      <c r="L13" s="198">
        <f>VLOOKUP($J$8,NXT!$C$9:$L$181,4,0)</f>
        <v>0</v>
      </c>
      <c r="M13" s="197"/>
      <c r="N13" s="193"/>
    </row>
    <row r="14" spans="1:17" s="175" customFormat="1" ht="15">
      <c r="A14" s="776">
        <f ca="1">IF(B14="","",ROW()-13)</f>
        <v>1</v>
      </c>
      <c r="B14" s="199" t="str">
        <f ca="1">IF(ROWS($1:1)&gt;COUNT(Dong11),"",OFFSET(TH!D$1,SMALL(Dong11,ROWS($1:1)),))</f>
        <v>NL/N01</v>
      </c>
      <c r="C14" s="200">
        <f ca="1">IF(ROWS($1:1)&gt;COUNT(Dong11),"",OFFSET(TH!E$1,SMALL(Dong11,ROWS($1:1)),))</f>
        <v>42660</v>
      </c>
      <c r="D14" s="201" t="str">
        <f ca="1">IF(ROWS($1:1)&gt;COUNT(Dong11),"",OFFSET(TH!H$1,SMALL(Dong11,ROWS($1:1)),))</f>
        <v>Cty TNHH TM DV Toàn Thắng Ô Tô</v>
      </c>
      <c r="E14" s="199" t="str">
        <f ca="1">IF(ROWS($1:1)&gt;COUNT(Dong11),"",IF(OFFSET(TH!L$1,SMALL(Dong11,ROWS($1:1)),)=$G$7,OFFSET(TH!M$1,SMALL(Dong11,ROWS($1:1)),),OFFSET(TH!L$1,SMALL(Dong11,ROWS($1:1)),)))</f>
        <v>331</v>
      </c>
      <c r="F14" s="202">
        <f ca="1">IF(ROWS($1:1)&gt;COUNT(Dong11),0,OFFSET(TH!J$1,SMALL(Dong11,ROWS($1:1)),))</f>
        <v>7800</v>
      </c>
      <c r="G14" s="202">
        <f ca="1">IF(ROWS($1:1)&gt;COUNT(Dong11),0,IF(MID(OFFSET(TH!D$1,SMALL(Dong11,ROWS($1:1)),),4,1)="N",OFFSET(TH!I$1,SMALL(Dong11,ROWS($1:1)),),0))</f>
        <v>8032</v>
      </c>
      <c r="H14" s="203">
        <f ca="1">ROUND(F14*G14,0)</f>
        <v>62649600</v>
      </c>
      <c r="I14" s="202">
        <f ca="1">IF(ROWS($1:1)&gt;COUNT(Dong11),0,IF(MID(OFFSET(TH!D$1,SMALL(Dong11,ROWS($1:1)),),4,1)="X",OFFSET(TH!I$1,SMALL(Dong11,ROWS($1:1)),),0))</f>
        <v>0</v>
      </c>
      <c r="J14" s="203">
        <f ca="1">ROUND(F14*I14,0)</f>
        <v>0</v>
      </c>
      <c r="K14" s="203">
        <f ca="1">IF(D14&lt;&gt;"",K13+G14-I14,0)</f>
        <v>8032</v>
      </c>
      <c r="L14" s="203">
        <f ca="1">IF(D14&lt;&gt;"",L13+H14-J14,0)</f>
        <v>62649600</v>
      </c>
      <c r="M14" s="203"/>
      <c r="N14" s="193"/>
    </row>
    <row r="15" spans="1:17" s="175" customFormat="1" ht="15">
      <c r="A15" s="776">
        <f t="shared" ref="A15:A24" ca="1" si="0">IF(B15="","",A14+1)</f>
        <v>2</v>
      </c>
      <c r="B15" s="199" t="str">
        <f ca="1">IF(ROWS($1:2)&gt;COUNT(Dong11),"",OFFSET(TH!D$1,SMALL(Dong11,ROWS($1:2)),))</f>
        <v>NL/N02</v>
      </c>
      <c r="C15" s="200">
        <f ca="1">IF(ROWS($1:2)&gt;COUNT(Dong11),"",OFFSET(TH!E$1,SMALL(Dong11,ROWS($1:2)),))</f>
        <v>42660</v>
      </c>
      <c r="D15" s="201" t="str">
        <f ca="1">IF(ROWS($1:2)&gt;COUNT(Dong11),"",OFFSET(TH!H$1,SMALL(Dong11,ROWS($1:2)),))</f>
        <v>Cty TNHH TM DV Toàn Thắng Ô Tô</v>
      </c>
      <c r="E15" s="199" t="str">
        <f ca="1">IF(ROWS($1:2)&gt;COUNT(Dong11),"",IF(OFFSET(TH!L$1,SMALL(Dong11,ROWS($1:2)),)=$G$7,OFFSET(TH!M$1,SMALL(Dong11,ROWS($1:2)),),OFFSET(TH!L$1,SMALL(Dong11,ROWS($1:2)),)))</f>
        <v>331</v>
      </c>
      <c r="F15" s="202">
        <f ca="1">IF(ROWS($1:2)&gt;COUNT(Dong11),0,OFFSET(TH!J$1,SMALL(Dong11,ROWS($1:2)),))</f>
        <v>8200</v>
      </c>
      <c r="G15" s="202">
        <f ca="1">IF(ROWS($1:2)&gt;COUNT(Dong11),0,IF(MID(OFFSET(TH!D$1,SMALL(Dong11,ROWS($1:2)),),4,1)="N",OFFSET(TH!I$1,SMALL(Dong11,ROWS($1:2)),),0))</f>
        <v>7448</v>
      </c>
      <c r="H15" s="203">
        <f t="shared" ref="H15:H24" ca="1" si="1">ROUND(F15*G15,0)</f>
        <v>61073600</v>
      </c>
      <c r="I15" s="202">
        <f ca="1">IF(ROWS($1:2)&gt;COUNT(Dong11),0,IF(MID(OFFSET(TH!D$1,SMALL(Dong11,ROWS($1:2)),),4,1)="X",OFFSET(TH!I$1,SMALL(Dong11,ROWS($1:2)),),0))</f>
        <v>0</v>
      </c>
      <c r="J15" s="203">
        <f t="shared" ref="J15:J24" ca="1" si="2">ROUND(F15*I15,0)</f>
        <v>0</v>
      </c>
      <c r="K15" s="203">
        <f t="shared" ref="K15:K24" ca="1" si="3">IF(D15&lt;&gt;"",K14+G15-I15,0)</f>
        <v>15480</v>
      </c>
      <c r="L15" s="203">
        <f t="shared" ref="L15:L24" ca="1" si="4">IF(D15&lt;&gt;"",L14+H15-J15,0)</f>
        <v>123723200</v>
      </c>
      <c r="M15" s="203"/>
      <c r="N15" s="193"/>
      <c r="Q15" s="204"/>
    </row>
    <row r="16" spans="1:17" s="175" customFormat="1" ht="15">
      <c r="A16" s="776">
        <f t="shared" ca="1" si="0"/>
        <v>3</v>
      </c>
      <c r="B16" s="199" t="str">
        <f ca="1">IF(ROWS($1:3)&gt;COUNT(Dong11),"",OFFSET(TH!D$1,SMALL(Dong11,ROWS($1:3)),))</f>
        <v>NL/N03</v>
      </c>
      <c r="C16" s="200">
        <f ca="1">IF(ROWS($1:3)&gt;COUNT(Dong11),"",OFFSET(TH!E$1,SMALL(Dong11,ROWS($1:3)),))</f>
        <v>42660</v>
      </c>
      <c r="D16" s="201" t="str">
        <f ca="1">IF(ROWS($1:3)&gt;COUNT(Dong11),"",OFFSET(TH!H$1,SMALL(Dong11,ROWS($1:3)),))</f>
        <v>Cty TNHH TM DV Toàn Thắng Ô Tô</v>
      </c>
      <c r="E16" s="199" t="str">
        <f ca="1">IF(ROWS($1:3)&gt;COUNT(Dong11),"",IF(OFFSET(TH!L$1,SMALL(Dong11,ROWS($1:3)),)=$G$7,OFFSET(TH!M$1,SMALL(Dong11,ROWS($1:3)),),OFFSET(TH!L$1,SMALL(Dong11,ROWS($1:3)),)))</f>
        <v>331</v>
      </c>
      <c r="F16" s="202">
        <f ca="1">IF(ROWS($1:3)&gt;COUNT(Dong11),0,OFFSET(TH!J$1,SMALL(Dong11,ROWS($1:3)),))</f>
        <v>8200</v>
      </c>
      <c r="G16" s="202">
        <f ca="1">IF(ROWS($1:3)&gt;COUNT(Dong11),0,IF(MID(OFFSET(TH!D$1,SMALL(Dong11,ROWS($1:3)),),4,1)="N",OFFSET(TH!I$1,SMALL(Dong11,ROWS($1:3)),),0))</f>
        <v>2161</v>
      </c>
      <c r="H16" s="203">
        <f t="shared" ca="1" si="1"/>
        <v>17720200</v>
      </c>
      <c r="I16" s="202">
        <f ca="1">IF(ROWS($1:3)&gt;COUNT(Dong11),0,IF(MID(OFFSET(TH!D$1,SMALL(Dong11,ROWS($1:3)),),4,1)="X",OFFSET(TH!I$1,SMALL(Dong11,ROWS($1:3)),),0))</f>
        <v>0</v>
      </c>
      <c r="J16" s="203">
        <f t="shared" ca="1" si="2"/>
        <v>0</v>
      </c>
      <c r="K16" s="203">
        <f t="shared" ca="1" si="3"/>
        <v>17641</v>
      </c>
      <c r="L16" s="203">
        <f t="shared" ca="1" si="4"/>
        <v>141443400</v>
      </c>
      <c r="M16" s="203"/>
      <c r="N16" s="193"/>
    </row>
    <row r="17" spans="1:16" s="175" customFormat="1" ht="15">
      <c r="A17" s="776">
        <f t="shared" ca="1" si="0"/>
        <v>4</v>
      </c>
      <c r="B17" s="199" t="str">
        <f ca="1">IF(ROWS($1:4)&gt;COUNT(Dong11),"",OFFSET(TH!D$1,SMALL(Dong11,ROWS($1:4)),))</f>
        <v>NL/N04</v>
      </c>
      <c r="C17" s="200">
        <f ca="1">IF(ROWS($1:4)&gt;COUNT(Dong11),"",OFFSET(TH!E$1,SMALL(Dong11,ROWS($1:4)),))</f>
        <v>42660</v>
      </c>
      <c r="D17" s="201" t="str">
        <f ca="1">IF(ROWS($1:4)&gt;COUNT(Dong11),"",OFFSET(TH!H$1,SMALL(Dong11,ROWS($1:4)),))</f>
        <v>Cty TNHH TM DV Toàn Thắng Ô Tô</v>
      </c>
      <c r="E17" s="199" t="str">
        <f ca="1">IF(ROWS($1:4)&gt;COUNT(Dong11),"",IF(OFFSET(TH!L$1,SMALL(Dong11,ROWS($1:4)),)=$G$7,OFFSET(TH!M$1,SMALL(Dong11,ROWS($1:4)),),OFFSET(TH!L$1,SMALL(Dong11,ROWS($1:4)),)))</f>
        <v>331</v>
      </c>
      <c r="F17" s="202">
        <f ca="1">IF(ROWS($1:4)&gt;COUNT(Dong11),0,OFFSET(TH!J$1,SMALL(Dong11,ROWS($1:4)),))</f>
        <v>7800</v>
      </c>
      <c r="G17" s="202">
        <f ca="1">IF(ROWS($1:4)&gt;COUNT(Dong11),0,IF(MID(OFFSET(TH!D$1,SMALL(Dong11,ROWS($1:4)),),4,1)="N",OFFSET(TH!I$1,SMALL(Dong11,ROWS($1:4)),),0))</f>
        <v>9042</v>
      </c>
      <c r="H17" s="203">
        <f t="shared" ca="1" si="1"/>
        <v>70527600</v>
      </c>
      <c r="I17" s="202">
        <f ca="1">IF(ROWS($1:4)&gt;COUNT(Dong11),0,IF(MID(OFFSET(TH!D$1,SMALL(Dong11,ROWS($1:4)),),4,1)="X",OFFSET(TH!I$1,SMALL(Dong11,ROWS($1:4)),),0))</f>
        <v>0</v>
      </c>
      <c r="J17" s="203">
        <f t="shared" ca="1" si="2"/>
        <v>0</v>
      </c>
      <c r="K17" s="203">
        <f t="shared" ca="1" si="3"/>
        <v>26683</v>
      </c>
      <c r="L17" s="203">
        <f t="shared" ca="1" si="4"/>
        <v>211971000</v>
      </c>
      <c r="M17" s="203"/>
      <c r="N17" s="193"/>
      <c r="P17" s="205"/>
    </row>
    <row r="18" spans="1:16" s="175" customFormat="1" ht="15">
      <c r="A18" s="776">
        <f t="shared" ca="1" si="0"/>
        <v>5</v>
      </c>
      <c r="B18" s="199" t="str">
        <f ca="1">IF(ROWS($1:5)&gt;COUNT(Dong11),"",OFFSET(TH!D$1,SMALL(Dong11,ROWS($1:5)),))</f>
        <v>NL/N05</v>
      </c>
      <c r="C18" s="200">
        <f ca="1">IF(ROWS($1:5)&gt;COUNT(Dong11),"",OFFSET(TH!E$1,SMALL(Dong11,ROWS($1:5)),))</f>
        <v>42662</v>
      </c>
      <c r="D18" s="201" t="str">
        <f ca="1">IF(ROWS($1:5)&gt;COUNT(Dong11),"",OFFSET(TH!H$1,SMALL(Dong11,ROWS($1:5)),))</f>
        <v>Cty TNHH TM DV Toàn Thắng Ô Tô</v>
      </c>
      <c r="E18" s="199" t="str">
        <f ca="1">IF(ROWS($1:5)&gt;COUNT(Dong11),"",IF(OFFSET(TH!L$1,SMALL(Dong11,ROWS($1:5)),)=$G$7,OFFSET(TH!M$1,SMALL(Dong11,ROWS($1:5)),),OFFSET(TH!L$1,SMALL(Dong11,ROWS($1:5)),)))</f>
        <v>331</v>
      </c>
      <c r="F18" s="202">
        <f ca="1">IF(ROWS($1:5)&gt;COUNT(Dong11),0,OFFSET(TH!J$1,SMALL(Dong11,ROWS($1:5)),))</f>
        <v>8200</v>
      </c>
      <c r="G18" s="202">
        <f ca="1">IF(ROWS($1:5)&gt;COUNT(Dong11),0,IF(MID(OFFSET(TH!D$1,SMALL(Dong11,ROWS($1:5)),),4,1)="N",OFFSET(TH!I$1,SMALL(Dong11,ROWS($1:5)),),0))</f>
        <v>6632</v>
      </c>
      <c r="H18" s="203">
        <f t="shared" ca="1" si="1"/>
        <v>54382400</v>
      </c>
      <c r="I18" s="202">
        <f ca="1">IF(ROWS($1:5)&gt;COUNT(Dong11),0,IF(MID(OFFSET(TH!D$1,SMALL(Dong11,ROWS($1:5)),),4,1)="X",OFFSET(TH!I$1,SMALL(Dong11,ROWS($1:5)),),0))</f>
        <v>0</v>
      </c>
      <c r="J18" s="203">
        <f t="shared" ca="1" si="2"/>
        <v>0</v>
      </c>
      <c r="K18" s="203">
        <f t="shared" ca="1" si="3"/>
        <v>33315</v>
      </c>
      <c r="L18" s="203">
        <f t="shared" ca="1" si="4"/>
        <v>266353400</v>
      </c>
      <c r="M18" s="203"/>
      <c r="N18" s="193"/>
    </row>
    <row r="19" spans="1:16" s="175" customFormat="1" ht="15">
      <c r="A19" s="776">
        <f t="shared" ca="1" si="0"/>
        <v>6</v>
      </c>
      <c r="B19" s="199" t="str">
        <f ca="1">IF(ROWS($1:6)&gt;COUNT(Dong11),"",OFFSET(TH!D$1,SMALL(Dong11,ROWS($1:6)),))</f>
        <v>NL/N07</v>
      </c>
      <c r="C19" s="200">
        <f ca="1">IF(ROWS($1:6)&gt;COUNT(Dong11),"",OFFSET(TH!E$1,SMALL(Dong11,ROWS($1:6)),))</f>
        <v>42683</v>
      </c>
      <c r="D19" s="201" t="str">
        <f ca="1">IF(ROWS($1:6)&gt;COUNT(Dong11),"",OFFSET(TH!H$1,SMALL(Dong11,ROWS($1:6)),))</f>
        <v>Cty TNHH TM DV Top Marketing</v>
      </c>
      <c r="E19" s="199" t="str">
        <f ca="1">IF(ROWS($1:6)&gt;COUNT(Dong11),"",IF(OFFSET(TH!L$1,SMALL(Dong11,ROWS($1:6)),)=$G$7,OFFSET(TH!M$1,SMALL(Dong11,ROWS($1:6)),),OFFSET(TH!L$1,SMALL(Dong11,ROWS($1:6)),)))</f>
        <v>331</v>
      </c>
      <c r="F19" s="202">
        <f ca="1">IF(ROWS($1:6)&gt;COUNT(Dong11),0,OFFSET(TH!J$1,SMALL(Dong11,ROWS($1:6)),))</f>
        <v>7800</v>
      </c>
      <c r="G19" s="202">
        <f ca="1">IF(ROWS($1:6)&gt;COUNT(Dong11),0,IF(MID(OFFSET(TH!D$1,SMALL(Dong11,ROWS($1:6)),),4,1)="N",OFFSET(TH!I$1,SMALL(Dong11,ROWS($1:6)),),0))</f>
        <v>10552</v>
      </c>
      <c r="H19" s="203">
        <f t="shared" ca="1" si="1"/>
        <v>82305600</v>
      </c>
      <c r="I19" s="202">
        <f ca="1">IF(ROWS($1:6)&gt;COUNT(Dong11),0,IF(MID(OFFSET(TH!D$1,SMALL(Dong11,ROWS($1:6)),),4,1)="X",OFFSET(TH!I$1,SMALL(Dong11,ROWS($1:6)),),0))</f>
        <v>0</v>
      </c>
      <c r="J19" s="203">
        <f t="shared" ca="1" si="2"/>
        <v>0</v>
      </c>
      <c r="K19" s="203">
        <f t="shared" ca="1" si="3"/>
        <v>43867</v>
      </c>
      <c r="L19" s="203">
        <f t="shared" ca="1" si="4"/>
        <v>348659000</v>
      </c>
      <c r="M19" s="203"/>
      <c r="N19" s="193"/>
    </row>
    <row r="20" spans="1:16" s="175" customFormat="1" ht="15">
      <c r="A20" s="776">
        <f t="shared" ca="1" si="0"/>
        <v>7</v>
      </c>
      <c r="B20" s="199" t="str">
        <f ca="1">IF(ROWS($1:7)&gt;COUNT(Dong11),"",OFFSET(TH!D$1,SMALL(Dong11,ROWS($1:7)),))</f>
        <v>NL/N08</v>
      </c>
      <c r="C20" s="200">
        <f ca="1">IF(ROWS($1:7)&gt;COUNT(Dong11),"",OFFSET(TH!E$1,SMALL(Dong11,ROWS($1:7)),))</f>
        <v>42683</v>
      </c>
      <c r="D20" s="201" t="str">
        <f ca="1">IF(ROWS($1:7)&gt;COUNT(Dong11),"",OFFSET(TH!H$1,SMALL(Dong11,ROWS($1:7)),))</f>
        <v>Cty TNHH TM DV Top Marketing</v>
      </c>
      <c r="E20" s="199" t="str">
        <f ca="1">IF(ROWS($1:7)&gt;COUNT(Dong11),"",IF(OFFSET(TH!L$1,SMALL(Dong11,ROWS($1:7)),)=$G$7,OFFSET(TH!M$1,SMALL(Dong11,ROWS($1:7)),),OFFSET(TH!L$1,SMALL(Dong11,ROWS($1:7)),)))</f>
        <v>331</v>
      </c>
      <c r="F20" s="202">
        <f ca="1">IF(ROWS($1:7)&gt;COUNT(Dong11),0,OFFSET(TH!J$1,SMALL(Dong11,ROWS($1:7)),))</f>
        <v>7800</v>
      </c>
      <c r="G20" s="202">
        <f ca="1">IF(ROWS($1:7)&gt;COUNT(Dong11),0,IF(MID(OFFSET(TH!D$1,SMALL(Dong11,ROWS($1:7)),),4,1)="N",OFFSET(TH!I$1,SMALL(Dong11,ROWS($1:7)),),0))</f>
        <v>5676</v>
      </c>
      <c r="H20" s="203">
        <f t="shared" ca="1" si="1"/>
        <v>44272800</v>
      </c>
      <c r="I20" s="202">
        <f ca="1">IF(ROWS($1:7)&gt;COUNT(Dong11),0,IF(MID(OFFSET(TH!D$1,SMALL(Dong11,ROWS($1:7)),),4,1)="X",OFFSET(TH!I$1,SMALL(Dong11,ROWS($1:7)),),0))</f>
        <v>0</v>
      </c>
      <c r="J20" s="203">
        <f t="shared" ca="1" si="2"/>
        <v>0</v>
      </c>
      <c r="K20" s="203">
        <f t="shared" ca="1" si="3"/>
        <v>49543</v>
      </c>
      <c r="L20" s="203">
        <f t="shared" ca="1" si="4"/>
        <v>392931800</v>
      </c>
      <c r="M20" s="203"/>
      <c r="N20" s="193"/>
    </row>
    <row r="21" spans="1:16" s="175" customFormat="1" ht="15">
      <c r="A21" s="776">
        <f t="shared" ca="1" si="0"/>
        <v>8</v>
      </c>
      <c r="B21" s="199" t="str">
        <f ca="1">IF(ROWS($1:8)&gt;COUNT(Dong11),"",OFFSET(TH!D$1,SMALL(Dong11,ROWS($1:8)),))</f>
        <v>NL/X</v>
      </c>
      <c r="C21" s="200">
        <f ca="1">IF(ROWS($1:8)&gt;COUNT(Dong11),"",OFFSET(TH!E$1,SMALL(Dong11,ROWS($1:8)),))</f>
        <v>42660</v>
      </c>
      <c r="D21" s="201" t="str">
        <f ca="1">IF(ROWS($1:8)&gt;COUNT(Dong11),"",OFFSET(TH!H$1,SMALL(Dong11,ROWS($1:8)),))</f>
        <v>Xuất sản xuất</v>
      </c>
      <c r="E21" s="199" t="str">
        <f ca="1">IF(ROWS($1:8)&gt;COUNT(Dong11),"",IF(OFFSET(TH!L$1,SMALL(Dong11,ROWS($1:8)),)=$G$7,OFFSET(TH!M$1,SMALL(Dong11,ROWS($1:8)),),OFFSET(TH!L$1,SMALL(Dong11,ROWS($1:8)),)))</f>
        <v>154</v>
      </c>
      <c r="F21" s="202">
        <f ca="1">IF(ROWS($1:8)&gt;COUNT(Dong11),0,OFFSET(TH!J$1,SMALL(Dong11,ROWS($1:8)),))</f>
        <v>7800</v>
      </c>
      <c r="G21" s="202">
        <f ca="1">IF(ROWS($1:8)&gt;COUNT(Dong11),0,IF(MID(OFFSET(TH!D$1,SMALL(Dong11,ROWS($1:8)),),4,1)="N",OFFSET(TH!I$1,SMALL(Dong11,ROWS($1:8)),),0))</f>
        <v>0</v>
      </c>
      <c r="H21" s="203">
        <f t="shared" ca="1" si="1"/>
        <v>0</v>
      </c>
      <c r="I21" s="202">
        <f ca="1">IF(ROWS($1:8)&gt;COUNT(Dong11),0,IF(MID(OFFSET(TH!D$1,SMALL(Dong11,ROWS($1:8)),),4,1)="X",OFFSET(TH!I$1,SMALL(Dong11,ROWS($1:8)),),0))</f>
        <v>8032</v>
      </c>
      <c r="J21" s="203">
        <f t="shared" ca="1" si="2"/>
        <v>62649600</v>
      </c>
      <c r="K21" s="203">
        <f t="shared" ca="1" si="3"/>
        <v>41511</v>
      </c>
      <c r="L21" s="203">
        <f t="shared" ca="1" si="4"/>
        <v>330282200</v>
      </c>
      <c r="M21" s="203"/>
      <c r="N21" s="193"/>
    </row>
    <row r="22" spans="1:16" s="175" customFormat="1" ht="15">
      <c r="A22" s="776">
        <f t="shared" ca="1" si="0"/>
        <v>9</v>
      </c>
      <c r="B22" s="199" t="str">
        <f ca="1">IF(ROWS($1:9)&gt;COUNT(Dong11),"",OFFSET(TH!D$1,SMALL(Dong11,ROWS($1:9)),))</f>
        <v>NL/X</v>
      </c>
      <c r="C22" s="200">
        <f ca="1">IF(ROWS($1:9)&gt;COUNT(Dong11),"",OFFSET(TH!E$1,SMALL(Dong11,ROWS($1:9)),))</f>
        <v>42660</v>
      </c>
      <c r="D22" s="201" t="str">
        <f ca="1">IF(ROWS($1:9)&gt;COUNT(Dong11),"",OFFSET(TH!H$1,SMALL(Dong11,ROWS($1:9)),))</f>
        <v>Xuất sản xuất</v>
      </c>
      <c r="E22" s="199" t="str">
        <f ca="1">IF(ROWS($1:9)&gt;COUNT(Dong11),"",IF(OFFSET(TH!L$1,SMALL(Dong11,ROWS($1:9)),)=$G$7,OFFSET(TH!M$1,SMALL(Dong11,ROWS($1:9)),),OFFSET(TH!L$1,SMALL(Dong11,ROWS($1:9)),)))</f>
        <v>154</v>
      </c>
      <c r="F22" s="202">
        <f ca="1">IF(ROWS($1:9)&gt;COUNT(Dong11),0,OFFSET(TH!J$1,SMALL(Dong11,ROWS($1:9)),))</f>
        <v>8200</v>
      </c>
      <c r="G22" s="202">
        <f ca="1">IF(ROWS($1:9)&gt;COUNT(Dong11),0,IF(MID(OFFSET(TH!D$1,SMALL(Dong11,ROWS($1:9)),),4,1)="N",OFFSET(TH!I$1,SMALL(Dong11,ROWS($1:9)),),0))</f>
        <v>0</v>
      </c>
      <c r="H22" s="203">
        <f t="shared" ca="1" si="1"/>
        <v>0</v>
      </c>
      <c r="I22" s="202">
        <f ca="1">IF(ROWS($1:9)&gt;COUNT(Dong11),0,IF(MID(OFFSET(TH!D$1,SMALL(Dong11,ROWS($1:9)),),4,1)="X",OFFSET(TH!I$1,SMALL(Dong11,ROWS($1:9)),),0))</f>
        <v>7448</v>
      </c>
      <c r="J22" s="203">
        <f t="shared" ca="1" si="2"/>
        <v>61073600</v>
      </c>
      <c r="K22" s="203">
        <f t="shared" ca="1" si="3"/>
        <v>34063</v>
      </c>
      <c r="L22" s="203">
        <f t="shared" ca="1" si="4"/>
        <v>269208600</v>
      </c>
      <c r="M22" s="203"/>
      <c r="N22" s="193"/>
    </row>
    <row r="23" spans="1:16" s="175" customFormat="1" ht="15">
      <c r="A23" s="776">
        <f t="shared" ca="1" si="0"/>
        <v>10</v>
      </c>
      <c r="B23" s="199" t="str">
        <f ca="1">IF(ROWS($1:10)&gt;COUNT(Dong11),"",OFFSET(TH!D$1,SMALL(Dong11,ROWS($1:10)),))</f>
        <v>NL/X</v>
      </c>
      <c r="C23" s="200">
        <f ca="1">IF(ROWS($1:10)&gt;COUNT(Dong11),"",OFFSET(TH!E$1,SMALL(Dong11,ROWS($1:10)),))</f>
        <v>42660</v>
      </c>
      <c r="D23" s="201" t="str">
        <f ca="1">IF(ROWS($1:10)&gt;COUNT(Dong11),"",OFFSET(TH!H$1,SMALL(Dong11,ROWS($1:10)),))</f>
        <v>Xuất sản xuất</v>
      </c>
      <c r="E23" s="199" t="str">
        <f ca="1">IF(ROWS($1:10)&gt;COUNT(Dong11),"",IF(OFFSET(TH!L$1,SMALL(Dong11,ROWS($1:10)),)=$G$7,OFFSET(TH!M$1,SMALL(Dong11,ROWS($1:10)),),OFFSET(TH!L$1,SMALL(Dong11,ROWS($1:10)),)))</f>
        <v>154</v>
      </c>
      <c r="F23" s="202">
        <f ca="1">IF(ROWS($1:10)&gt;COUNT(Dong11),0,OFFSET(TH!J$1,SMALL(Dong11,ROWS($1:10)),))</f>
        <v>8200</v>
      </c>
      <c r="G23" s="202">
        <f ca="1">IF(ROWS($1:10)&gt;COUNT(Dong11),0,IF(MID(OFFSET(TH!D$1,SMALL(Dong11,ROWS($1:10)),),4,1)="N",OFFSET(TH!I$1,SMALL(Dong11,ROWS($1:10)),),0))</f>
        <v>0</v>
      </c>
      <c r="H23" s="203">
        <f t="shared" ca="1" si="1"/>
        <v>0</v>
      </c>
      <c r="I23" s="202">
        <f ca="1">IF(ROWS($1:10)&gt;COUNT(Dong11),0,IF(MID(OFFSET(TH!D$1,SMALL(Dong11,ROWS($1:10)),),4,1)="X",OFFSET(TH!I$1,SMALL(Dong11,ROWS($1:10)),),0))</f>
        <v>2161</v>
      </c>
      <c r="J23" s="203">
        <f t="shared" ca="1" si="2"/>
        <v>17720200</v>
      </c>
      <c r="K23" s="203">
        <f t="shared" ca="1" si="3"/>
        <v>31902</v>
      </c>
      <c r="L23" s="203">
        <f t="shared" ca="1" si="4"/>
        <v>251488400</v>
      </c>
      <c r="M23" s="203"/>
      <c r="N23" s="193"/>
    </row>
    <row r="24" spans="1:16" s="175" customFormat="1" ht="15">
      <c r="A24" s="776">
        <f t="shared" ca="1" si="0"/>
        <v>11</v>
      </c>
      <c r="B24" s="199" t="str">
        <f ca="1">IF(ROWS($1:11)&gt;COUNT(Dong11),"",OFFSET(TH!D$1,SMALL(Dong11,ROWS($1:11)),))</f>
        <v>NL/X</v>
      </c>
      <c r="C24" s="200">
        <f ca="1">IF(ROWS($1:11)&gt;COUNT(Dong11),"",OFFSET(TH!E$1,SMALL(Dong11,ROWS($1:11)),))</f>
        <v>42662</v>
      </c>
      <c r="D24" s="201" t="str">
        <f ca="1">IF(ROWS($1:11)&gt;COUNT(Dong11),"",OFFSET(TH!H$1,SMALL(Dong11,ROWS($1:11)),))</f>
        <v>Xuất sản xuất</v>
      </c>
      <c r="E24" s="199" t="str">
        <f ca="1">IF(ROWS($1:11)&gt;COUNT(Dong11),"",IF(OFFSET(TH!L$1,SMALL(Dong11,ROWS($1:11)),)=$G$7,OFFSET(TH!M$1,SMALL(Dong11,ROWS($1:11)),),OFFSET(TH!L$1,SMALL(Dong11,ROWS($1:11)),)))</f>
        <v>154</v>
      </c>
      <c r="F24" s="202">
        <f ca="1">IF(ROWS($1:11)&gt;COUNT(Dong11),0,OFFSET(TH!J$1,SMALL(Dong11,ROWS($1:11)),))</f>
        <v>8200</v>
      </c>
      <c r="G24" s="202">
        <f ca="1">IF(ROWS($1:11)&gt;COUNT(Dong11),0,IF(MID(OFFSET(TH!D$1,SMALL(Dong11,ROWS($1:11)),),4,1)="N",OFFSET(TH!I$1,SMALL(Dong11,ROWS($1:11)),),0))</f>
        <v>0</v>
      </c>
      <c r="H24" s="203">
        <f t="shared" ca="1" si="1"/>
        <v>0</v>
      </c>
      <c r="I24" s="202">
        <f ca="1">IF(ROWS($1:11)&gt;COUNT(Dong11),0,IF(MID(OFFSET(TH!D$1,SMALL(Dong11,ROWS($1:11)),),4,1)="X",OFFSET(TH!I$1,SMALL(Dong11,ROWS($1:11)),),0))</f>
        <v>6632</v>
      </c>
      <c r="J24" s="203">
        <f t="shared" ca="1" si="2"/>
        <v>54382400</v>
      </c>
      <c r="K24" s="203">
        <f t="shared" ca="1" si="3"/>
        <v>25270</v>
      </c>
      <c r="L24" s="203">
        <f t="shared" ca="1" si="4"/>
        <v>197106000</v>
      </c>
      <c r="M24" s="203"/>
      <c r="N24" s="193"/>
    </row>
    <row r="25" spans="1:16" s="175" customFormat="1" ht="15">
      <c r="A25" s="776" t="str">
        <f t="shared" ref="A25:A30" ca="1" si="5">IF(B25="","",A24+1)</f>
        <v/>
      </c>
      <c r="B25" s="199" t="str">
        <f ca="1">IF(ROWS($1:12)&gt;COUNT(Dong11),"",OFFSET(TH!D$1,SMALL(Dong11,ROWS($1:12)),))</f>
        <v/>
      </c>
      <c r="C25" s="200" t="str">
        <f ca="1">IF(ROWS($1:12)&gt;COUNT(Dong11),"",OFFSET(TH!E$1,SMALL(Dong11,ROWS($1:12)),))</f>
        <v/>
      </c>
      <c r="D25" s="201" t="str">
        <f ca="1">IF(ROWS($1:12)&gt;COUNT(Dong11),"",OFFSET(TH!H$1,SMALL(Dong11,ROWS($1:12)),))</f>
        <v/>
      </c>
      <c r="E25" s="199" t="str">
        <f ca="1">IF(ROWS($1:12)&gt;COUNT(Dong11),"",IF(OFFSET(TH!L$1,SMALL(Dong11,ROWS($1:12)),)=$G$7,OFFSET(TH!M$1,SMALL(Dong11,ROWS($1:12)),),OFFSET(TH!L$1,SMALL(Dong11,ROWS($1:12)),)))</f>
        <v/>
      </c>
      <c r="F25" s="202">
        <f ca="1">IF(ROWS($1:12)&gt;COUNT(Dong11),0,OFFSET(TH!J$1,SMALL(Dong11,ROWS($1:12)),))</f>
        <v>0</v>
      </c>
      <c r="G25" s="202">
        <f ca="1">IF(ROWS($1:12)&gt;COUNT(Dong11),0,IF(MID(OFFSET(TH!D$1,SMALL(Dong11,ROWS($1:12)),),4,1)="N",OFFSET(TH!I$1,SMALL(Dong11,ROWS($1:12)),),0))</f>
        <v>0</v>
      </c>
      <c r="H25" s="203">
        <f t="shared" ref="H25:H30" ca="1" si="6">ROUND(F25*G25,0)</f>
        <v>0</v>
      </c>
      <c r="I25" s="202">
        <f ca="1">IF(ROWS($1:12)&gt;COUNT(Dong11),0,IF(MID(OFFSET(TH!D$1,SMALL(Dong11,ROWS($1:12)),),4,1)="X",OFFSET(TH!I$1,SMALL(Dong11,ROWS($1:12)),),0))</f>
        <v>0</v>
      </c>
      <c r="J25" s="203">
        <f t="shared" ref="J25:J30" ca="1" si="7">ROUND(F25*I25,0)</f>
        <v>0</v>
      </c>
      <c r="K25" s="203">
        <f t="shared" ref="K25:K30" ca="1" si="8">IF(D25&lt;&gt;"",K24+G25-I25,0)</f>
        <v>0</v>
      </c>
      <c r="L25" s="203">
        <f t="shared" ref="L25:L30" ca="1" si="9">IF(D25&lt;&gt;"",L24+H25-J25,0)</f>
        <v>0</v>
      </c>
      <c r="M25" s="203"/>
      <c r="N25" s="193"/>
    </row>
    <row r="26" spans="1:16" s="175" customFormat="1" ht="15">
      <c r="A26" s="776" t="str">
        <f t="shared" ca="1" si="5"/>
        <v/>
      </c>
      <c r="B26" s="199" t="str">
        <f ca="1">IF(ROWS($1:13)&gt;COUNT(Dong11),"",OFFSET(TH!D$1,SMALL(Dong11,ROWS($1:13)),))</f>
        <v/>
      </c>
      <c r="C26" s="200" t="str">
        <f ca="1">IF(ROWS($1:13)&gt;COUNT(Dong11),"",OFFSET(TH!E$1,SMALL(Dong11,ROWS($1:13)),))</f>
        <v/>
      </c>
      <c r="D26" s="201" t="str">
        <f ca="1">IF(ROWS($1:13)&gt;COUNT(Dong11),"",OFFSET(TH!H$1,SMALL(Dong11,ROWS($1:13)),))</f>
        <v/>
      </c>
      <c r="E26" s="199" t="str">
        <f ca="1">IF(ROWS($1:13)&gt;COUNT(Dong11),"",IF(OFFSET(TH!L$1,SMALL(Dong11,ROWS($1:13)),)=$G$7,OFFSET(TH!M$1,SMALL(Dong11,ROWS($1:13)),),OFFSET(TH!L$1,SMALL(Dong11,ROWS($1:13)),)))</f>
        <v/>
      </c>
      <c r="F26" s="202">
        <f ca="1">IF(ROWS($1:13)&gt;COUNT(Dong11),0,OFFSET(TH!J$1,SMALL(Dong11,ROWS($1:13)),))</f>
        <v>0</v>
      </c>
      <c r="G26" s="202">
        <f ca="1">IF(ROWS($1:13)&gt;COUNT(Dong11),0,IF(MID(OFFSET(TH!D$1,SMALL(Dong11,ROWS($1:13)),),4,1)="N",OFFSET(TH!I$1,SMALL(Dong11,ROWS($1:13)),),0))</f>
        <v>0</v>
      </c>
      <c r="H26" s="203">
        <f t="shared" ca="1" si="6"/>
        <v>0</v>
      </c>
      <c r="I26" s="202">
        <f ca="1">IF(ROWS($1:13)&gt;COUNT(Dong11),0,IF(MID(OFFSET(TH!D$1,SMALL(Dong11,ROWS($1:13)),),4,1)="X",OFFSET(TH!I$1,SMALL(Dong11,ROWS($1:13)),),0))</f>
        <v>0</v>
      </c>
      <c r="J26" s="203">
        <f t="shared" ca="1" si="7"/>
        <v>0</v>
      </c>
      <c r="K26" s="203">
        <f t="shared" ca="1" si="8"/>
        <v>0</v>
      </c>
      <c r="L26" s="203">
        <f t="shared" ca="1" si="9"/>
        <v>0</v>
      </c>
      <c r="M26" s="203"/>
      <c r="N26" s="193"/>
    </row>
    <row r="27" spans="1:16" s="175" customFormat="1" ht="15">
      <c r="A27" s="776" t="str">
        <f t="shared" ca="1" si="5"/>
        <v/>
      </c>
      <c r="B27" s="199" t="str">
        <f ca="1">IF(ROWS($1:14)&gt;COUNT(Dong11),"",OFFSET(TH!D$1,SMALL(Dong11,ROWS($1:14)),))</f>
        <v/>
      </c>
      <c r="C27" s="200" t="str">
        <f ca="1">IF(ROWS($1:14)&gt;COUNT(Dong11),"",OFFSET(TH!E$1,SMALL(Dong11,ROWS($1:14)),))</f>
        <v/>
      </c>
      <c r="D27" s="201" t="str">
        <f ca="1">IF(ROWS($1:14)&gt;COUNT(Dong11),"",OFFSET(TH!H$1,SMALL(Dong11,ROWS($1:14)),))</f>
        <v/>
      </c>
      <c r="E27" s="199" t="str">
        <f ca="1">IF(ROWS($1:14)&gt;COUNT(Dong11),"",IF(OFFSET(TH!L$1,SMALL(Dong11,ROWS($1:14)),)=$G$7,OFFSET(TH!M$1,SMALL(Dong11,ROWS($1:14)),),OFFSET(TH!L$1,SMALL(Dong11,ROWS($1:14)),)))</f>
        <v/>
      </c>
      <c r="F27" s="202">
        <f ca="1">IF(ROWS($1:14)&gt;COUNT(Dong11),0,OFFSET(TH!J$1,SMALL(Dong11,ROWS($1:14)),))</f>
        <v>0</v>
      </c>
      <c r="G27" s="202">
        <f ca="1">IF(ROWS($1:14)&gt;COUNT(Dong11),0,IF(MID(OFFSET(TH!D$1,SMALL(Dong11,ROWS($1:14)),),4,1)="N",OFFSET(TH!I$1,SMALL(Dong11,ROWS($1:14)),),0))</f>
        <v>0</v>
      </c>
      <c r="H27" s="203">
        <f t="shared" ca="1" si="6"/>
        <v>0</v>
      </c>
      <c r="I27" s="202">
        <f ca="1">IF(ROWS($1:14)&gt;COUNT(Dong11),0,IF(MID(OFFSET(TH!D$1,SMALL(Dong11,ROWS($1:14)),),4,1)="X",OFFSET(TH!I$1,SMALL(Dong11,ROWS($1:14)),),0))</f>
        <v>0</v>
      </c>
      <c r="J27" s="203">
        <f t="shared" ca="1" si="7"/>
        <v>0</v>
      </c>
      <c r="K27" s="203">
        <f t="shared" ca="1" si="8"/>
        <v>0</v>
      </c>
      <c r="L27" s="203">
        <f t="shared" ca="1" si="9"/>
        <v>0</v>
      </c>
      <c r="M27" s="203"/>
      <c r="N27" s="193"/>
    </row>
    <row r="28" spans="1:16" s="175" customFormat="1" ht="15">
      <c r="A28" s="776" t="str">
        <f t="shared" ca="1" si="5"/>
        <v/>
      </c>
      <c r="B28" s="199" t="str">
        <f ca="1">IF(ROWS($1:15)&gt;COUNT(Dong11),"",OFFSET(TH!D$1,SMALL(Dong11,ROWS($1:15)),))</f>
        <v/>
      </c>
      <c r="C28" s="200" t="str">
        <f ca="1">IF(ROWS($1:15)&gt;COUNT(Dong11),"",OFFSET(TH!E$1,SMALL(Dong11,ROWS($1:15)),))</f>
        <v/>
      </c>
      <c r="D28" s="201" t="str">
        <f ca="1">IF(ROWS($1:15)&gt;COUNT(Dong11),"",OFFSET(TH!H$1,SMALL(Dong11,ROWS($1:15)),))</f>
        <v/>
      </c>
      <c r="E28" s="199" t="str">
        <f ca="1">IF(ROWS($1:15)&gt;COUNT(Dong11),"",IF(OFFSET(TH!L$1,SMALL(Dong11,ROWS($1:15)),)=$G$7,OFFSET(TH!M$1,SMALL(Dong11,ROWS($1:15)),),OFFSET(TH!L$1,SMALL(Dong11,ROWS($1:15)),)))</f>
        <v/>
      </c>
      <c r="F28" s="202">
        <f ca="1">IF(ROWS($1:15)&gt;COUNT(Dong11),0,OFFSET(TH!J$1,SMALL(Dong11,ROWS($1:15)),))</f>
        <v>0</v>
      </c>
      <c r="G28" s="202">
        <f ca="1">IF(ROWS($1:15)&gt;COUNT(Dong11),0,IF(MID(OFFSET(TH!D$1,SMALL(Dong11,ROWS($1:15)),),4,1)="N",OFFSET(TH!I$1,SMALL(Dong11,ROWS($1:15)),),0))</f>
        <v>0</v>
      </c>
      <c r="H28" s="203">
        <f t="shared" ca="1" si="6"/>
        <v>0</v>
      </c>
      <c r="I28" s="202">
        <f ca="1">IF(ROWS($1:15)&gt;COUNT(Dong11),0,IF(MID(OFFSET(TH!D$1,SMALL(Dong11,ROWS($1:15)),),4,1)="X",OFFSET(TH!I$1,SMALL(Dong11,ROWS($1:15)),),0))</f>
        <v>0</v>
      </c>
      <c r="J28" s="203">
        <f t="shared" ca="1" si="7"/>
        <v>0</v>
      </c>
      <c r="K28" s="203">
        <f t="shared" ca="1" si="8"/>
        <v>0</v>
      </c>
      <c r="L28" s="203">
        <f t="shared" ca="1" si="9"/>
        <v>0</v>
      </c>
      <c r="M28" s="203"/>
      <c r="N28" s="193"/>
    </row>
    <row r="29" spans="1:16" s="175" customFormat="1" ht="15">
      <c r="A29" s="776" t="str">
        <f t="shared" ca="1" si="5"/>
        <v/>
      </c>
      <c r="B29" s="199" t="str">
        <f ca="1">IF(ROWS($1:16)&gt;COUNT(Dong11),"",OFFSET(TH!D$1,SMALL(Dong11,ROWS($1:16)),))</f>
        <v/>
      </c>
      <c r="C29" s="200" t="str">
        <f ca="1">IF(ROWS($1:16)&gt;COUNT(Dong11),"",OFFSET(TH!E$1,SMALL(Dong11,ROWS($1:16)),))</f>
        <v/>
      </c>
      <c r="D29" s="201" t="str">
        <f ca="1">IF(ROWS($1:16)&gt;COUNT(Dong11),"",OFFSET(TH!H$1,SMALL(Dong11,ROWS($1:16)),))</f>
        <v/>
      </c>
      <c r="E29" s="199" t="str">
        <f ca="1">IF(ROWS($1:16)&gt;COUNT(Dong11),"",IF(OFFSET(TH!L$1,SMALL(Dong11,ROWS($1:16)),)=$G$7,OFFSET(TH!M$1,SMALL(Dong11,ROWS($1:16)),),OFFSET(TH!L$1,SMALL(Dong11,ROWS($1:16)),)))</f>
        <v/>
      </c>
      <c r="F29" s="202">
        <f ca="1">IF(ROWS($1:16)&gt;COUNT(Dong11),0,OFFSET(TH!J$1,SMALL(Dong11,ROWS($1:16)),))</f>
        <v>0</v>
      </c>
      <c r="G29" s="202">
        <f ca="1">IF(ROWS($1:16)&gt;COUNT(Dong11),0,IF(MID(OFFSET(TH!D$1,SMALL(Dong11,ROWS($1:16)),),4,1)="N",OFFSET(TH!I$1,SMALL(Dong11,ROWS($1:16)),),0))</f>
        <v>0</v>
      </c>
      <c r="H29" s="203">
        <f t="shared" ca="1" si="6"/>
        <v>0</v>
      </c>
      <c r="I29" s="202">
        <f ca="1">IF(ROWS($1:16)&gt;COUNT(Dong11),0,IF(MID(OFFSET(TH!D$1,SMALL(Dong11,ROWS($1:16)),),4,1)="X",OFFSET(TH!I$1,SMALL(Dong11,ROWS($1:16)),),0))</f>
        <v>0</v>
      </c>
      <c r="J29" s="203">
        <f t="shared" ca="1" si="7"/>
        <v>0</v>
      </c>
      <c r="K29" s="203">
        <f t="shared" ca="1" si="8"/>
        <v>0</v>
      </c>
      <c r="L29" s="203">
        <f t="shared" ca="1" si="9"/>
        <v>0</v>
      </c>
      <c r="M29" s="203"/>
      <c r="N29" s="193"/>
    </row>
    <row r="30" spans="1:16" s="175" customFormat="1" ht="15">
      <c r="A30" s="776" t="str">
        <f t="shared" ca="1" si="5"/>
        <v/>
      </c>
      <c r="B30" s="199" t="str">
        <f ca="1">IF(ROWS($1:17)&gt;COUNT(Dong11),"",OFFSET(TH!D$1,SMALL(Dong11,ROWS($1:17)),))</f>
        <v/>
      </c>
      <c r="C30" s="200" t="str">
        <f ca="1">IF(ROWS($1:17)&gt;COUNT(Dong11),"",OFFSET(TH!E$1,SMALL(Dong11,ROWS($1:17)),))</f>
        <v/>
      </c>
      <c r="D30" s="201" t="str">
        <f ca="1">IF(ROWS($1:17)&gt;COUNT(Dong11),"",OFFSET(TH!H$1,SMALL(Dong11,ROWS($1:17)),))</f>
        <v/>
      </c>
      <c r="E30" s="199" t="str">
        <f ca="1">IF(ROWS($1:17)&gt;COUNT(Dong11),"",IF(OFFSET(TH!L$1,SMALL(Dong11,ROWS($1:17)),)=$G$7,OFFSET(TH!M$1,SMALL(Dong11,ROWS($1:17)),),OFFSET(TH!L$1,SMALL(Dong11,ROWS($1:17)),)))</f>
        <v/>
      </c>
      <c r="F30" s="202">
        <f ca="1">IF(ROWS($1:17)&gt;COUNT(Dong11),0,OFFSET(TH!J$1,SMALL(Dong11,ROWS($1:17)),))</f>
        <v>0</v>
      </c>
      <c r="G30" s="202">
        <f ca="1">IF(ROWS($1:17)&gt;COUNT(Dong11),0,IF(MID(OFFSET(TH!D$1,SMALL(Dong11,ROWS($1:17)),),4,1)="N",OFFSET(TH!I$1,SMALL(Dong11,ROWS($1:17)),),0))</f>
        <v>0</v>
      </c>
      <c r="H30" s="203">
        <f t="shared" ca="1" si="6"/>
        <v>0</v>
      </c>
      <c r="I30" s="202">
        <f ca="1">IF(ROWS($1:17)&gt;COUNT(Dong11),0,IF(MID(OFFSET(TH!D$1,SMALL(Dong11,ROWS($1:17)),),4,1)="X",OFFSET(TH!I$1,SMALL(Dong11,ROWS($1:17)),),0))</f>
        <v>0</v>
      </c>
      <c r="J30" s="203">
        <f t="shared" ca="1" si="7"/>
        <v>0</v>
      </c>
      <c r="K30" s="203">
        <f t="shared" ca="1" si="8"/>
        <v>0</v>
      </c>
      <c r="L30" s="203">
        <f t="shared" ca="1" si="9"/>
        <v>0</v>
      </c>
      <c r="M30" s="203"/>
      <c r="N30" s="193"/>
    </row>
    <row r="31" spans="1:16" s="175" customFormat="1" ht="15">
      <c r="A31" s="776" t="str">
        <f>IF(B31="","",#REF!+1)</f>
        <v/>
      </c>
      <c r="B31" s="206"/>
      <c r="C31" s="207"/>
      <c r="D31" s="201"/>
      <c r="E31" s="208"/>
      <c r="F31" s="777"/>
      <c r="G31" s="195"/>
      <c r="H31" s="195"/>
      <c r="I31" s="195"/>
      <c r="J31" s="195"/>
      <c r="K31" s="195"/>
      <c r="L31" s="195"/>
      <c r="M31" s="209"/>
      <c r="N31" s="193"/>
    </row>
    <row r="32" spans="1:16" s="175" customFormat="1" ht="15">
      <c r="A32" s="210"/>
      <c r="B32" s="210"/>
      <c r="C32" s="210"/>
      <c r="D32" s="210" t="s">
        <v>216</v>
      </c>
      <c r="E32" s="646" t="s">
        <v>19</v>
      </c>
      <c r="F32" s="646" t="s">
        <v>19</v>
      </c>
      <c r="G32" s="211">
        <f ca="1">SUM(G14:G31)</f>
        <v>49543</v>
      </c>
      <c r="H32" s="211">
        <f ca="1">SUM(H14:H31)</f>
        <v>392931800</v>
      </c>
      <c r="I32" s="211">
        <f ca="1">SUM(I14:I31)</f>
        <v>24273</v>
      </c>
      <c r="J32" s="211">
        <f ca="1">SUM(J14:J31)</f>
        <v>195825800</v>
      </c>
      <c r="K32" s="211">
        <f ca="1">K13+G32-I32</f>
        <v>25270</v>
      </c>
      <c r="L32" s="211">
        <f ca="1">L13+H32-J32</f>
        <v>197106000</v>
      </c>
      <c r="M32" s="210"/>
      <c r="N32" s="193"/>
    </row>
    <row r="33" spans="2:14" s="175" customFormat="1" ht="15">
      <c r="B33" s="212" t="s">
        <v>217</v>
      </c>
      <c r="E33" s="647"/>
      <c r="G33" s="205"/>
      <c r="N33" s="193"/>
    </row>
    <row r="34" spans="2:14" s="175" customFormat="1" ht="15">
      <c r="B34" s="6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E34" s="647"/>
      <c r="G34" s="205"/>
      <c r="I34" s="205"/>
      <c r="N34" s="193"/>
    </row>
    <row r="35" spans="2:14" s="175" customFormat="1" ht="15">
      <c r="B35" s="183"/>
      <c r="C35" s="183"/>
      <c r="D35" s="183"/>
      <c r="E35" s="647"/>
      <c r="F35" s="183"/>
      <c r="G35" s="213"/>
      <c r="H35" s="647"/>
      <c r="I35" s="214"/>
      <c r="J35" s="907" t="str">
        <f ca="1">"Ngày 31 tháng  12  năm  "&amp;YEAR($C$14)</f>
        <v>Ngày 31 tháng  12  năm  2016</v>
      </c>
      <c r="K35" s="907"/>
      <c r="L35" s="907"/>
      <c r="M35" s="907"/>
      <c r="N35" s="193"/>
    </row>
    <row r="36" spans="2:14" s="175" customFormat="1" ht="15">
      <c r="C36" s="183"/>
      <c r="D36" s="647" t="s">
        <v>11</v>
      </c>
      <c r="E36" s="907" t="s">
        <v>12</v>
      </c>
      <c r="F36" s="907"/>
      <c r="G36" s="907"/>
      <c r="H36" s="907"/>
      <c r="I36" s="907"/>
      <c r="J36" s="907" t="s">
        <v>104</v>
      </c>
      <c r="K36" s="907"/>
      <c r="L36" s="907"/>
      <c r="M36" s="907"/>
      <c r="N36" s="193"/>
    </row>
    <row r="37" spans="2:14" s="175" customFormat="1" ht="15">
      <c r="C37" s="183"/>
      <c r="D37" s="647" t="s">
        <v>13</v>
      </c>
      <c r="E37" s="907" t="s">
        <v>13</v>
      </c>
      <c r="F37" s="907"/>
      <c r="G37" s="907"/>
      <c r="H37" s="907" t="s">
        <v>131</v>
      </c>
      <c r="I37" s="907"/>
      <c r="J37" s="907" t="s">
        <v>131</v>
      </c>
      <c r="K37" s="907"/>
      <c r="L37" s="907"/>
      <c r="M37" s="907"/>
      <c r="N37" s="193"/>
    </row>
    <row r="38" spans="2:14" s="175" customFormat="1" ht="15">
      <c r="E38" s="647"/>
      <c r="N38" s="215"/>
    </row>
  </sheetData>
  <mergeCells count="19"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19" customWidth="1"/>
    <col min="2" max="2" width="10.42578125" style="219" customWidth="1"/>
    <col min="3" max="4" width="9.5703125" style="269" customWidth="1"/>
    <col min="5" max="5" width="39.42578125" style="270" customWidth="1"/>
    <col min="6" max="6" width="10.85546875" style="271" customWidth="1"/>
    <col min="7" max="9" width="10.28515625" style="272" customWidth="1"/>
    <col min="10" max="10" width="9.7109375" style="219" customWidth="1"/>
    <col min="11" max="11" width="2.42578125" style="219" customWidth="1"/>
    <col min="12" max="12" width="6.5703125" style="219" customWidth="1"/>
    <col min="13" max="16384" width="9.140625" style="219"/>
  </cols>
  <sheetData>
    <row r="1" spans="1:12" ht="15" customHeight="1">
      <c r="A1" s="216" t="str">
        <f>TH!A1</f>
        <v>Đơn vị: CÔNG TY TNHH BAO BÌ GIẤY KIM DUNG PHÁT</v>
      </c>
      <c r="B1" s="217"/>
      <c r="C1" s="217"/>
      <c r="D1" s="217"/>
      <c r="E1" s="218"/>
      <c r="F1" s="918" t="s">
        <v>218</v>
      </c>
      <c r="G1" s="918"/>
      <c r="H1" s="918"/>
      <c r="I1" s="918"/>
      <c r="J1" s="918"/>
      <c r="K1" s="220"/>
      <c r="L1" s="221"/>
    </row>
    <row r="2" spans="1:12" ht="15" customHeight="1">
      <c r="A2" s="406" t="str">
        <f>TH!A2</f>
        <v>Địa chỉ: Ấp Rừng Sến, xã Mỹ Hạnh Bắc, Huyện Đức Hòa, Tỉnh Long An, Việt Nam</v>
      </c>
      <c r="B2" s="222"/>
      <c r="C2" s="222"/>
      <c r="D2" s="222"/>
      <c r="E2" s="223"/>
      <c r="F2" s="917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17"/>
      <c r="H2" s="917"/>
      <c r="I2" s="917"/>
      <c r="J2" s="917"/>
      <c r="K2" s="220"/>
    </row>
    <row r="3" spans="1:12" ht="15">
      <c r="A3" s="222"/>
      <c r="B3" s="222"/>
      <c r="C3" s="222"/>
      <c r="D3" s="222"/>
      <c r="E3" s="223"/>
      <c r="F3" s="917"/>
      <c r="G3" s="917"/>
      <c r="H3" s="917"/>
      <c r="I3" s="917"/>
      <c r="J3" s="917"/>
      <c r="K3" s="220"/>
    </row>
    <row r="4" spans="1:12" ht="33.75" customHeight="1">
      <c r="A4" s="778"/>
      <c r="B4" s="778"/>
      <c r="C4" s="778"/>
      <c r="D4" s="778"/>
      <c r="E4" s="779" t="s">
        <v>219</v>
      </c>
      <c r="F4" s="778"/>
      <c r="G4" s="778"/>
      <c r="H4" s="778"/>
      <c r="I4" s="778"/>
      <c r="J4" s="220"/>
      <c r="K4" s="220"/>
    </row>
    <row r="5" spans="1:12" ht="15">
      <c r="A5" s="650"/>
      <c r="B5" s="650"/>
      <c r="C5" s="650"/>
      <c r="D5" s="650"/>
      <c r="E5" s="2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50"/>
      <c r="G5" s="650"/>
      <c r="H5" s="650"/>
      <c r="I5" s="650"/>
      <c r="J5" s="220"/>
      <c r="K5" s="220"/>
    </row>
    <row r="6" spans="1:12" ht="15">
      <c r="A6" s="650"/>
      <c r="B6" s="650"/>
      <c r="C6" s="650"/>
      <c r="D6" s="650"/>
      <c r="E6" s="225" t="s">
        <v>220</v>
      </c>
      <c r="F6" s="650"/>
      <c r="G6" s="650"/>
      <c r="H6" s="650"/>
      <c r="I6" s="650"/>
      <c r="J6" s="220"/>
      <c r="K6" s="220"/>
    </row>
    <row r="7" spans="1:12" ht="15">
      <c r="A7" s="649" t="s">
        <v>221</v>
      </c>
      <c r="B7" s="649"/>
      <c r="C7" s="226"/>
      <c r="D7" s="226"/>
      <c r="E7" s="227" t="s">
        <v>442</v>
      </c>
      <c r="F7" s="224"/>
      <c r="G7" s="228"/>
      <c r="H7" s="228"/>
      <c r="I7" s="228"/>
      <c r="J7" s="220"/>
      <c r="K7" s="220"/>
    </row>
    <row r="8" spans="1:12" ht="15">
      <c r="A8" s="649" t="s">
        <v>222</v>
      </c>
      <c r="B8" s="649"/>
      <c r="C8" s="220" t="str">
        <f>VLOOKUP($E$7,NXT!$C$9:$L$182,2,0)</f>
        <v>kg</v>
      </c>
      <c r="D8" s="649"/>
      <c r="E8" s="227"/>
      <c r="F8" s="224"/>
      <c r="G8" s="228"/>
      <c r="H8" s="228"/>
      <c r="I8" s="228"/>
      <c r="J8" s="220"/>
      <c r="K8" s="220"/>
    </row>
    <row r="9" spans="1:12" ht="15">
      <c r="A9" s="919" t="s">
        <v>223</v>
      </c>
      <c r="B9" s="920"/>
      <c r="C9" s="920"/>
      <c r="D9" s="920"/>
      <c r="E9" s="227"/>
      <c r="F9" s="224"/>
      <c r="G9" s="228"/>
      <c r="H9" s="228"/>
      <c r="I9" s="228"/>
      <c r="J9" s="229"/>
      <c r="K9" s="229"/>
    </row>
    <row r="10" spans="1:12" ht="19.5" customHeight="1">
      <c r="A10" s="921" t="s">
        <v>224</v>
      </c>
      <c r="B10" s="922" t="s">
        <v>225</v>
      </c>
      <c r="C10" s="924" t="s">
        <v>15</v>
      </c>
      <c r="D10" s="925"/>
      <c r="E10" s="926" t="s">
        <v>0</v>
      </c>
      <c r="F10" s="935" t="s">
        <v>226</v>
      </c>
      <c r="G10" s="929" t="s">
        <v>195</v>
      </c>
      <c r="H10" s="929"/>
      <c r="I10" s="925"/>
      <c r="J10" s="930" t="s">
        <v>227</v>
      </c>
      <c r="K10" s="230"/>
      <c r="L10" s="231" t="s">
        <v>212</v>
      </c>
    </row>
    <row r="11" spans="1:12" ht="19.5" customHeight="1">
      <c r="A11" s="921"/>
      <c r="B11" s="923"/>
      <c r="C11" s="232" t="s">
        <v>209</v>
      </c>
      <c r="D11" s="232" t="s">
        <v>210</v>
      </c>
      <c r="E11" s="927"/>
      <c r="F11" s="936"/>
      <c r="G11" s="233" t="s">
        <v>209</v>
      </c>
      <c r="H11" s="233" t="s">
        <v>210</v>
      </c>
      <c r="I11" s="233" t="s">
        <v>211</v>
      </c>
      <c r="J11" s="931"/>
      <c r="K11" s="230"/>
    </row>
    <row r="12" spans="1:12" ht="15">
      <c r="A12" s="234" t="s">
        <v>2</v>
      </c>
      <c r="B12" s="235" t="s">
        <v>3</v>
      </c>
      <c r="C12" s="236" t="s">
        <v>4</v>
      </c>
      <c r="D12" s="236" t="s">
        <v>5</v>
      </c>
      <c r="E12" s="237" t="s">
        <v>6</v>
      </c>
      <c r="F12" s="235" t="s">
        <v>125</v>
      </c>
      <c r="G12" s="238">
        <v>1</v>
      </c>
      <c r="H12" s="238">
        <v>2</v>
      </c>
      <c r="I12" s="238">
        <v>3</v>
      </c>
      <c r="J12" s="236" t="s">
        <v>126</v>
      </c>
      <c r="K12" s="239"/>
    </row>
    <row r="13" spans="1:12" ht="16.5" customHeight="1">
      <c r="A13" s="240"/>
      <c r="B13" s="241"/>
      <c r="C13" s="242"/>
      <c r="D13" s="242"/>
      <c r="E13" s="243" t="s">
        <v>186</v>
      </c>
      <c r="F13" s="241"/>
      <c r="G13" s="244"/>
      <c r="H13" s="244"/>
      <c r="I13" s="245">
        <f>VLOOKUP($E$7,NXT!$C$9:$L$182,3,0)</f>
        <v>0</v>
      </c>
      <c r="J13" s="240"/>
      <c r="K13" s="246"/>
    </row>
    <row r="14" spans="1:12" ht="16.5" customHeight="1">
      <c r="A14" s="780">
        <f ca="1">IF(B14&lt;&gt;"",ROW()-(ROW()-1),"")</f>
        <v>1</v>
      </c>
      <c r="B14" s="247">
        <f ca="1">IF(ROWS($1:1)&gt;COUNT(Dong12),"",OFFSET(TH!E$1,SMALL(Dong12,ROWS($1:1)),))</f>
        <v>42595</v>
      </c>
      <c r="C14" s="292" t="str">
        <f ca="1">IF(ROWS($1:1)&gt;COUNT(Dong12),"",IF(MID(OFFSET(TH!D$1,SMALL(Dong12,ROWS($1:1)),),4,1)="N",OFFSET(TH!D$1,SMALL(Dong12,ROWS($1:1)),),""))</f>
        <v>VL/N01</v>
      </c>
      <c r="D14" s="247" t="str">
        <f ca="1">IF(ROWS($1:1)&gt;COUNT(Dong12),"",IF(MID(OFFSET(TH!D$1,SMALL(Dong12,ROWS($1:1)),),4,1)="X",OFFSET(TH!D$1,SMALL(Dong12,ROWS($1:1)),),""))</f>
        <v/>
      </c>
      <c r="E14" s="413" t="str">
        <f ca="1">IF(ROWS($1:1)&gt;COUNT(Dong12),"",OFFSET(TH!H$1,SMALL(Dong12,ROWS($1:1)),))</f>
        <v>Cty TNHH SX TM DV Quang Mạnh</v>
      </c>
      <c r="F14" s="247">
        <f ca="1">B14</f>
        <v>42595</v>
      </c>
      <c r="G14" s="248">
        <f ca="1">IF(ROWS($1:1)&gt;COUNT(Dong12),0,IF(MID(OFFSET(TH!D$1,SMALL(Dong12,ROWS($1:1)),),4,1)="N",OFFSET(TH!I$1,SMALL(Dong12,ROWS($1:1)),),0))</f>
        <v>19810</v>
      </c>
      <c r="H14" s="248">
        <f ca="1">IF(ROWS($1:1)&gt;COUNT(Dong12),0,IF(MID(OFFSET(TH!D$1,SMALL(Dong12,ROWS($1:1)),),4,1)="X",OFFSET(TH!I$1,SMALL(Dong12,ROWS($1:1)),),0))</f>
        <v>0</v>
      </c>
      <c r="I14" s="249">
        <f ca="1">IF(E14&lt;&gt;"",I13+G14-H14,0)</f>
        <v>19810</v>
      </c>
      <c r="J14" s="250"/>
      <c r="K14" s="251"/>
    </row>
    <row r="15" spans="1:12" ht="16.5" customHeight="1">
      <c r="A15" s="781">
        <f ca="1">IF(B15&lt;&gt;"",A14+1,"")</f>
        <v>2</v>
      </c>
      <c r="B15" s="247">
        <f ca="1">IF(ROWS($1:2)&gt;COUNT(Dong12),"",OFFSET(TH!E$1,SMALL(Dong12,ROWS($1:2)),))</f>
        <v>42601</v>
      </c>
      <c r="C15" s="292" t="str">
        <f ca="1">IF(ROWS($1:2)&gt;COUNT(Dong12),"",IF(MID(OFFSET(TH!D$1,SMALL(Dong12,ROWS($1:2)),),4,1)="N",OFFSET(TH!D$1,SMALL(Dong12,ROWS($1:2)),),""))</f>
        <v>VL/N02</v>
      </c>
      <c r="D15" s="247" t="str">
        <f ca="1">IF(ROWS($1:2)&gt;COUNT(Dong12),"",IF(MID(OFFSET(TH!D$1,SMALL(Dong12,ROWS($1:2)),),4,1)="X",OFFSET(TH!D$1,SMALL(Dong12,ROWS($1:2)),),""))</f>
        <v/>
      </c>
      <c r="E15" s="413" t="str">
        <f ca="1">IF(ROWS($1:2)&gt;COUNT(Dong12),"",OFFSET(TH!H$1,SMALL(Dong12,ROWS($1:2)),))</f>
        <v>Cty TNHH SX TM DV Quang Mạnh</v>
      </c>
      <c r="F15" s="247">
        <f t="shared" ref="F15:F30" ca="1" si="0">B15</f>
        <v>42601</v>
      </c>
      <c r="G15" s="248">
        <f ca="1">IF(ROWS($1:2)&gt;COUNT(Dong12),0,IF(MID(OFFSET(TH!D$1,SMALL(Dong12,ROWS($1:2)),),4,1)="N",OFFSET(TH!I$1,SMALL(Dong12,ROWS($1:2)),),0))</f>
        <v>14330</v>
      </c>
      <c r="H15" s="248">
        <f ca="1">IF(ROWS($1:2)&gt;COUNT(Dong12),0,IF(MID(OFFSET(TH!D$1,SMALL(Dong12,ROWS($1:2)),),4,1)="X",OFFSET(TH!I$1,SMALL(Dong12,ROWS($1:2)),),0))</f>
        <v>0</v>
      </c>
      <c r="I15" s="249">
        <f t="shared" ref="I15:I30" ca="1" si="1">IF(E15&lt;&gt;"",I14+G15-H15,0)</f>
        <v>34140</v>
      </c>
      <c r="J15" s="250"/>
      <c r="K15" s="251"/>
    </row>
    <row r="16" spans="1:12" ht="16.5" customHeight="1">
      <c r="A16" s="781">
        <f t="shared" ref="A16:A30" ca="1" si="2">IF(B16&lt;&gt;"",A15+1,"")</f>
        <v>3</v>
      </c>
      <c r="B16" s="247">
        <f ca="1">IF(ROWS($1:3)&gt;COUNT(Dong12),"",OFFSET(TH!E$1,SMALL(Dong12,ROWS($1:3)),))</f>
        <v>42613</v>
      </c>
      <c r="C16" s="292" t="str">
        <f ca="1">IF(ROWS($1:3)&gt;COUNT(Dong12),"",IF(MID(OFFSET(TH!D$1,SMALL(Dong12,ROWS($1:3)),),4,1)="N",OFFSET(TH!D$1,SMALL(Dong12,ROWS($1:3)),),""))</f>
        <v>VL/N03</v>
      </c>
      <c r="D16" s="247" t="str">
        <f ca="1">IF(ROWS($1:3)&gt;COUNT(Dong12),"",IF(MID(OFFSET(TH!D$1,SMALL(Dong12,ROWS($1:3)),),4,1)="X",OFFSET(TH!D$1,SMALL(Dong12,ROWS($1:3)),),""))</f>
        <v/>
      </c>
      <c r="E16" s="413" t="str">
        <f ca="1">IF(ROWS($1:3)&gt;COUNT(Dong12),"",OFFSET(TH!H$1,SMALL(Dong12,ROWS($1:3)),))</f>
        <v>Cty TNHH SX TM DV Quang Mạnh</v>
      </c>
      <c r="F16" s="247">
        <f t="shared" ca="1" si="0"/>
        <v>42613</v>
      </c>
      <c r="G16" s="248">
        <f ca="1">IF(ROWS($1:3)&gt;COUNT(Dong12),0,IF(MID(OFFSET(TH!D$1,SMALL(Dong12,ROWS($1:3)),),4,1)="N",OFFSET(TH!I$1,SMALL(Dong12,ROWS($1:3)),),0))</f>
        <v>12830</v>
      </c>
      <c r="H16" s="248">
        <f ca="1">IF(ROWS($1:3)&gt;COUNT(Dong12),0,IF(MID(OFFSET(TH!D$1,SMALL(Dong12,ROWS($1:3)),),4,1)="X",OFFSET(TH!I$1,SMALL(Dong12,ROWS($1:3)),),0))</f>
        <v>0</v>
      </c>
      <c r="I16" s="249">
        <f t="shared" ca="1" si="1"/>
        <v>46970</v>
      </c>
      <c r="J16" s="250"/>
      <c r="K16" s="251"/>
    </row>
    <row r="17" spans="1:11" ht="16.5" customHeight="1">
      <c r="A17" s="781">
        <f t="shared" ca="1" si="2"/>
        <v>4</v>
      </c>
      <c r="B17" s="247">
        <f ca="1">IF(ROWS($1:4)&gt;COUNT(Dong12),"",OFFSET(TH!E$1,SMALL(Dong12,ROWS($1:4)),))</f>
        <v>42630</v>
      </c>
      <c r="C17" s="292" t="str">
        <f ca="1">IF(ROWS($1:4)&gt;COUNT(Dong12),"",IF(MID(OFFSET(TH!D$1,SMALL(Dong12,ROWS($1:4)),),4,1)="N",OFFSET(TH!D$1,SMALL(Dong12,ROWS($1:4)),),""))</f>
        <v>VL/N05</v>
      </c>
      <c r="D17" s="247" t="str">
        <f ca="1">IF(ROWS($1:4)&gt;COUNT(Dong12),"",IF(MID(OFFSET(TH!D$1,SMALL(Dong12,ROWS($1:4)),),4,1)="X",OFFSET(TH!D$1,SMALL(Dong12,ROWS($1:4)),),""))</f>
        <v/>
      </c>
      <c r="E17" s="413" t="str">
        <f ca="1">IF(ROWS($1:4)&gt;COUNT(Dong12),"",OFFSET(TH!H$1,SMALL(Dong12,ROWS($1:4)),))</f>
        <v>Cty TNHH SX TM DV Quang Mạnh</v>
      </c>
      <c r="F17" s="247">
        <f t="shared" ca="1" si="0"/>
        <v>42630</v>
      </c>
      <c r="G17" s="248">
        <f ca="1">IF(ROWS($1:4)&gt;COUNT(Dong12),0,IF(MID(OFFSET(TH!D$1,SMALL(Dong12,ROWS($1:4)),),4,1)="N",OFFSET(TH!I$1,SMALL(Dong12,ROWS($1:4)),),0))</f>
        <v>18500</v>
      </c>
      <c r="H17" s="248">
        <f ca="1">IF(ROWS($1:4)&gt;COUNT(Dong12),0,IF(MID(OFFSET(TH!D$1,SMALL(Dong12,ROWS($1:4)),),4,1)="X",OFFSET(TH!I$1,SMALL(Dong12,ROWS($1:4)),),0))</f>
        <v>0</v>
      </c>
      <c r="I17" s="249">
        <f t="shared" ca="1" si="1"/>
        <v>65470</v>
      </c>
      <c r="J17" s="250"/>
      <c r="K17" s="251"/>
    </row>
    <row r="18" spans="1:11" ht="16.5" customHeight="1">
      <c r="A18" s="781">
        <f t="shared" ca="1" si="2"/>
        <v>5</v>
      </c>
      <c r="B18" s="247">
        <f ca="1">IF(ROWS($1:5)&gt;COUNT(Dong12),"",OFFSET(TH!E$1,SMALL(Dong12,ROWS($1:5)),))</f>
        <v>42712</v>
      </c>
      <c r="C18" s="292" t="str">
        <f ca="1">IF(ROWS($1:5)&gt;COUNT(Dong12),"",IF(MID(OFFSET(TH!D$1,SMALL(Dong12,ROWS($1:5)),),4,1)="N",OFFSET(TH!D$1,SMALL(Dong12,ROWS($1:5)),),""))</f>
        <v>VL/N08</v>
      </c>
      <c r="D18" s="247" t="str">
        <f ca="1">IF(ROWS($1:5)&gt;COUNT(Dong12),"",IF(MID(OFFSET(TH!D$1,SMALL(Dong12,ROWS($1:5)),),4,1)="X",OFFSET(TH!D$1,SMALL(Dong12,ROWS($1:5)),),""))</f>
        <v/>
      </c>
      <c r="E18" s="413" t="str">
        <f ca="1">IF(ROWS($1:5)&gt;COUNT(Dong12),"",OFFSET(TH!H$1,SMALL(Dong12,ROWS($1:5)),))</f>
        <v>Cty TNHH SX TM DV Quang Mạnh</v>
      </c>
      <c r="F18" s="247">
        <f t="shared" ca="1" si="0"/>
        <v>42712</v>
      </c>
      <c r="G18" s="248">
        <f ca="1">IF(ROWS($1:5)&gt;COUNT(Dong12),0,IF(MID(OFFSET(TH!D$1,SMALL(Dong12,ROWS($1:5)),),4,1)="N",OFFSET(TH!I$1,SMALL(Dong12,ROWS($1:5)),),0))</f>
        <v>19820</v>
      </c>
      <c r="H18" s="248">
        <f ca="1">IF(ROWS($1:5)&gt;COUNT(Dong12),0,IF(MID(OFFSET(TH!D$1,SMALL(Dong12,ROWS($1:5)),),4,1)="X",OFFSET(TH!I$1,SMALL(Dong12,ROWS($1:5)),),0))</f>
        <v>0</v>
      </c>
      <c r="I18" s="249">
        <f t="shared" ca="1" si="1"/>
        <v>85290</v>
      </c>
      <c r="J18" s="250"/>
      <c r="K18" s="251"/>
    </row>
    <row r="19" spans="1:11" ht="16.5" customHeight="1">
      <c r="A19" s="781">
        <f t="shared" ca="1" si="2"/>
        <v>6</v>
      </c>
      <c r="B19" s="247">
        <f ca="1">IF(ROWS($1:6)&gt;COUNT(Dong12),"",OFFSET(TH!E$1,SMALL(Dong12,ROWS($1:6)),))</f>
        <v>42723</v>
      </c>
      <c r="C19" s="292" t="str">
        <f ca="1">IF(ROWS($1:6)&gt;COUNT(Dong12),"",IF(MID(OFFSET(TH!D$1,SMALL(Dong12,ROWS($1:6)),),4,1)="N",OFFSET(TH!D$1,SMALL(Dong12,ROWS($1:6)),),""))</f>
        <v>VL/N09</v>
      </c>
      <c r="D19" s="247" t="str">
        <f ca="1">IF(ROWS($1:6)&gt;COUNT(Dong12),"",IF(MID(OFFSET(TH!D$1,SMALL(Dong12,ROWS($1:6)),),4,1)="X",OFFSET(TH!D$1,SMALL(Dong12,ROWS($1:6)),),""))</f>
        <v/>
      </c>
      <c r="E19" s="413" t="str">
        <f ca="1">IF(ROWS($1:6)&gt;COUNT(Dong12),"",OFFSET(TH!H$1,SMALL(Dong12,ROWS($1:6)),))</f>
        <v>Cty TNHH SX TM DV Quang Mạnh</v>
      </c>
      <c r="F19" s="247">
        <f t="shared" ca="1" si="0"/>
        <v>42723</v>
      </c>
      <c r="G19" s="248">
        <f ca="1">IF(ROWS($1:6)&gt;COUNT(Dong12),0,IF(MID(OFFSET(TH!D$1,SMALL(Dong12,ROWS($1:6)),),4,1)="N",OFFSET(TH!I$1,SMALL(Dong12,ROWS($1:6)),),0))</f>
        <v>6950</v>
      </c>
      <c r="H19" s="248">
        <f ca="1">IF(ROWS($1:6)&gt;COUNT(Dong12),0,IF(MID(OFFSET(TH!D$1,SMALL(Dong12,ROWS($1:6)),),4,1)="X",OFFSET(TH!I$1,SMALL(Dong12,ROWS($1:6)),),0))</f>
        <v>0</v>
      </c>
      <c r="I19" s="249">
        <f t="shared" ca="1" si="1"/>
        <v>92240</v>
      </c>
      <c r="J19" s="250"/>
      <c r="K19" s="251"/>
    </row>
    <row r="20" spans="1:11" ht="16.5" customHeight="1">
      <c r="A20" s="781">
        <f t="shared" ca="1" si="2"/>
        <v>7</v>
      </c>
      <c r="B20" s="247">
        <f ca="1">IF(ROWS($1:7)&gt;COUNT(Dong12),"",OFFSET(TH!E$1,SMALL(Dong12,ROWS($1:7)),))</f>
        <v>42732</v>
      </c>
      <c r="C20" s="292" t="str">
        <f ca="1">IF(ROWS($1:7)&gt;COUNT(Dong12),"",IF(MID(OFFSET(TH!D$1,SMALL(Dong12,ROWS($1:7)),),4,1)="N",OFFSET(TH!D$1,SMALL(Dong12,ROWS($1:7)),),""))</f>
        <v>VL/N12</v>
      </c>
      <c r="D20" s="247" t="str">
        <f ca="1">IF(ROWS($1:7)&gt;COUNT(Dong12),"",IF(MID(OFFSET(TH!D$1,SMALL(Dong12,ROWS($1:7)),),4,1)="X",OFFSET(TH!D$1,SMALL(Dong12,ROWS($1:7)),),""))</f>
        <v/>
      </c>
      <c r="E20" s="413" t="str">
        <f ca="1">IF(ROWS($1:7)&gt;COUNT(Dong12),"",OFFSET(TH!H$1,SMALL(Dong12,ROWS($1:7)),))</f>
        <v>Cty TNHH SX TM DV Quang Mạnh</v>
      </c>
      <c r="F20" s="247">
        <f t="shared" ca="1" si="0"/>
        <v>42732</v>
      </c>
      <c r="G20" s="248">
        <f ca="1">IF(ROWS($1:7)&gt;COUNT(Dong12),0,IF(MID(OFFSET(TH!D$1,SMALL(Dong12,ROWS($1:7)),),4,1)="N",OFFSET(TH!I$1,SMALL(Dong12,ROWS($1:7)),),0))</f>
        <v>19710</v>
      </c>
      <c r="H20" s="248">
        <f ca="1">IF(ROWS($1:7)&gt;COUNT(Dong12),0,IF(MID(OFFSET(TH!D$1,SMALL(Dong12,ROWS($1:7)),),4,1)="X",OFFSET(TH!I$1,SMALL(Dong12,ROWS($1:7)),),0))</f>
        <v>0</v>
      </c>
      <c r="I20" s="249">
        <f t="shared" ca="1" si="1"/>
        <v>111950</v>
      </c>
      <c r="J20" s="250"/>
      <c r="K20" s="251"/>
    </row>
    <row r="21" spans="1:11" ht="16.5" customHeight="1">
      <c r="A21" s="781">
        <f t="shared" ca="1" si="2"/>
        <v>8</v>
      </c>
      <c r="B21" s="247">
        <f ca="1">IF(ROWS($1:8)&gt;COUNT(Dong12),"",OFFSET(TH!E$1,SMALL(Dong12,ROWS($1:8)),))</f>
        <v>42734</v>
      </c>
      <c r="C21" s="292" t="str">
        <f ca="1">IF(ROWS($1:8)&gt;COUNT(Dong12),"",IF(MID(OFFSET(TH!D$1,SMALL(Dong12,ROWS($1:8)),),4,1)="N",OFFSET(TH!D$1,SMALL(Dong12,ROWS($1:8)),),""))</f>
        <v>VL/N13</v>
      </c>
      <c r="D21" s="247" t="str">
        <f ca="1">IF(ROWS($1:8)&gt;COUNT(Dong12),"",IF(MID(OFFSET(TH!D$1,SMALL(Dong12,ROWS($1:8)),),4,1)="X",OFFSET(TH!D$1,SMALL(Dong12,ROWS($1:8)),),""))</f>
        <v/>
      </c>
      <c r="E21" s="413" t="str">
        <f ca="1">IF(ROWS($1:8)&gt;COUNT(Dong12),"",OFFSET(TH!H$1,SMALL(Dong12,ROWS($1:8)),))</f>
        <v>Cty TNHH SX TM DV Quang Mạnh</v>
      </c>
      <c r="F21" s="247">
        <f t="shared" ca="1" si="0"/>
        <v>42734</v>
      </c>
      <c r="G21" s="248">
        <f ca="1">IF(ROWS($1:8)&gt;COUNT(Dong12),0,IF(MID(OFFSET(TH!D$1,SMALL(Dong12,ROWS($1:8)),),4,1)="N",OFFSET(TH!I$1,SMALL(Dong12,ROWS($1:8)),),0))</f>
        <v>7860</v>
      </c>
      <c r="H21" s="248">
        <f ca="1">IF(ROWS($1:8)&gt;COUNT(Dong12),0,IF(MID(OFFSET(TH!D$1,SMALL(Dong12,ROWS($1:8)),),4,1)="X",OFFSET(TH!I$1,SMALL(Dong12,ROWS($1:8)),),0))</f>
        <v>0</v>
      </c>
      <c r="I21" s="249">
        <f t="shared" ca="1" si="1"/>
        <v>119810</v>
      </c>
      <c r="J21" s="250"/>
      <c r="K21" s="251"/>
    </row>
    <row r="22" spans="1:11" ht="16.5" customHeight="1">
      <c r="A22" s="781">
        <f t="shared" ca="1" si="2"/>
        <v>9</v>
      </c>
      <c r="B22" s="247">
        <f ca="1">IF(ROWS($1:9)&gt;COUNT(Dong12),"",OFFSET(TH!E$1,SMALL(Dong12,ROWS($1:9)),))</f>
        <v>42595</v>
      </c>
      <c r="C22" s="292" t="str">
        <f ca="1">IF(ROWS($1:9)&gt;COUNT(Dong12),"",IF(MID(OFFSET(TH!D$1,SMALL(Dong12,ROWS($1:9)),),4,1)="N",OFFSET(TH!D$1,SMALL(Dong12,ROWS($1:9)),),""))</f>
        <v/>
      </c>
      <c r="D22" s="247" t="str">
        <f ca="1">IF(ROWS($1:9)&gt;COUNT(Dong12),"",IF(MID(OFFSET(TH!D$1,SMALL(Dong12,ROWS($1:9)),),4,1)="X",OFFSET(TH!D$1,SMALL(Dong12,ROWS($1:9)),),""))</f>
        <v>VL/X</v>
      </c>
      <c r="E22" s="413" t="str">
        <f ca="1">IF(ROWS($1:9)&gt;COUNT(Dong12),"",OFFSET(TH!H$1,SMALL(Dong12,ROWS($1:9)),))</f>
        <v>Xuất sản xuất</v>
      </c>
      <c r="F22" s="247">
        <f t="shared" ca="1" si="0"/>
        <v>42595</v>
      </c>
      <c r="G22" s="248">
        <f ca="1">IF(ROWS($1:9)&gt;COUNT(Dong12),0,IF(MID(OFFSET(TH!D$1,SMALL(Dong12,ROWS($1:9)),),4,1)="N",OFFSET(TH!I$1,SMALL(Dong12,ROWS($1:9)),),0))</f>
        <v>0</v>
      </c>
      <c r="H22" s="248">
        <f ca="1">IF(ROWS($1:9)&gt;COUNT(Dong12),0,IF(MID(OFFSET(TH!D$1,SMALL(Dong12,ROWS($1:9)),),4,1)="X",OFFSET(TH!I$1,SMALL(Dong12,ROWS($1:9)),),0))</f>
        <v>19810</v>
      </c>
      <c r="I22" s="249">
        <f t="shared" ca="1" si="1"/>
        <v>100000</v>
      </c>
      <c r="J22" s="250"/>
      <c r="K22" s="251"/>
    </row>
    <row r="23" spans="1:11" ht="16.5" customHeight="1">
      <c r="A23" s="781">
        <f t="shared" ca="1" si="2"/>
        <v>10</v>
      </c>
      <c r="B23" s="247">
        <f ca="1">IF(ROWS($1:10)&gt;COUNT(Dong12),"",OFFSET(TH!E$1,SMALL(Dong12,ROWS($1:10)),))</f>
        <v>42601</v>
      </c>
      <c r="C23" s="292" t="str">
        <f ca="1">IF(ROWS($1:10)&gt;COUNT(Dong12),"",IF(MID(OFFSET(TH!D$1,SMALL(Dong12,ROWS($1:10)),),4,1)="N",OFFSET(TH!D$1,SMALL(Dong12,ROWS($1:10)),),""))</f>
        <v/>
      </c>
      <c r="D23" s="247" t="str">
        <f ca="1">IF(ROWS($1:10)&gt;COUNT(Dong12),"",IF(MID(OFFSET(TH!D$1,SMALL(Dong12,ROWS($1:10)),),4,1)="X",OFFSET(TH!D$1,SMALL(Dong12,ROWS($1:10)),),""))</f>
        <v>VL/X</v>
      </c>
      <c r="E23" s="413" t="str">
        <f ca="1">IF(ROWS($1:10)&gt;COUNT(Dong12),"",OFFSET(TH!H$1,SMALL(Dong12,ROWS($1:10)),))</f>
        <v>Xuất sản xuất</v>
      </c>
      <c r="F23" s="247">
        <f t="shared" ca="1" si="0"/>
        <v>42601</v>
      </c>
      <c r="G23" s="248">
        <f ca="1">IF(ROWS($1:10)&gt;COUNT(Dong12),0,IF(MID(OFFSET(TH!D$1,SMALL(Dong12,ROWS($1:10)),),4,1)="N",OFFSET(TH!I$1,SMALL(Dong12,ROWS($1:10)),),0))</f>
        <v>0</v>
      </c>
      <c r="H23" s="248">
        <f ca="1">IF(ROWS($1:10)&gt;COUNT(Dong12),0,IF(MID(OFFSET(TH!D$1,SMALL(Dong12,ROWS($1:10)),),4,1)="X",OFFSET(TH!I$1,SMALL(Dong12,ROWS($1:10)),),0))</f>
        <v>14330</v>
      </c>
      <c r="I23" s="249">
        <f t="shared" ca="1" si="1"/>
        <v>85670</v>
      </c>
      <c r="J23" s="250"/>
      <c r="K23" s="251"/>
    </row>
    <row r="24" spans="1:11" ht="16.5" customHeight="1">
      <c r="A24" s="781">
        <f t="shared" ca="1" si="2"/>
        <v>11</v>
      </c>
      <c r="B24" s="247">
        <f ca="1">IF(ROWS($1:11)&gt;COUNT(Dong12),"",OFFSET(TH!E$1,SMALL(Dong12,ROWS($1:11)),))</f>
        <v>42613</v>
      </c>
      <c r="C24" s="292" t="str">
        <f ca="1">IF(ROWS($1:11)&gt;COUNT(Dong12),"",IF(MID(OFFSET(TH!D$1,SMALL(Dong12,ROWS($1:11)),),4,1)="N",OFFSET(TH!D$1,SMALL(Dong12,ROWS($1:11)),),""))</f>
        <v/>
      </c>
      <c r="D24" s="247" t="str">
        <f ca="1">IF(ROWS($1:11)&gt;COUNT(Dong12),"",IF(MID(OFFSET(TH!D$1,SMALL(Dong12,ROWS($1:11)),),4,1)="X",OFFSET(TH!D$1,SMALL(Dong12,ROWS($1:11)),),""))</f>
        <v>VL/X</v>
      </c>
      <c r="E24" s="413" t="str">
        <f ca="1">IF(ROWS($1:11)&gt;COUNT(Dong12),"",OFFSET(TH!H$1,SMALL(Dong12,ROWS($1:11)),))</f>
        <v>Xuất sản xuất</v>
      </c>
      <c r="F24" s="247">
        <f t="shared" ca="1" si="0"/>
        <v>42613</v>
      </c>
      <c r="G24" s="248">
        <f ca="1">IF(ROWS($1:11)&gt;COUNT(Dong12),0,IF(MID(OFFSET(TH!D$1,SMALL(Dong12,ROWS($1:11)),),4,1)="N",OFFSET(TH!I$1,SMALL(Dong12,ROWS($1:11)),),0))</f>
        <v>0</v>
      </c>
      <c r="H24" s="248">
        <f ca="1">IF(ROWS($1:11)&gt;COUNT(Dong12),0,IF(MID(OFFSET(TH!D$1,SMALL(Dong12,ROWS($1:11)),),4,1)="X",OFFSET(TH!I$1,SMALL(Dong12,ROWS($1:11)),),0))</f>
        <v>12830</v>
      </c>
      <c r="I24" s="249">
        <f t="shared" ca="1" si="1"/>
        <v>72840</v>
      </c>
      <c r="J24" s="250"/>
      <c r="K24" s="251"/>
    </row>
    <row r="25" spans="1:11" ht="16.5" customHeight="1">
      <c r="A25" s="781">
        <f t="shared" ca="1" si="2"/>
        <v>12</v>
      </c>
      <c r="B25" s="247">
        <f ca="1">IF(ROWS($1:12)&gt;COUNT(Dong12),"",OFFSET(TH!E$1,SMALL(Dong12,ROWS($1:12)),))</f>
        <v>42630</v>
      </c>
      <c r="C25" s="292" t="str">
        <f ca="1">IF(ROWS($1:12)&gt;COUNT(Dong12),"",IF(MID(OFFSET(TH!D$1,SMALL(Dong12,ROWS($1:12)),),4,1)="N",OFFSET(TH!D$1,SMALL(Dong12,ROWS($1:12)),),""))</f>
        <v/>
      </c>
      <c r="D25" s="247" t="str">
        <f ca="1">IF(ROWS($1:12)&gt;COUNT(Dong12),"",IF(MID(OFFSET(TH!D$1,SMALL(Dong12,ROWS($1:12)),),4,1)="X",OFFSET(TH!D$1,SMALL(Dong12,ROWS($1:12)),),""))</f>
        <v>VL/X</v>
      </c>
      <c r="E25" s="413" t="str">
        <f ca="1">IF(ROWS($1:12)&gt;COUNT(Dong12),"",OFFSET(TH!H$1,SMALL(Dong12,ROWS($1:12)),))</f>
        <v>Xuất sản xuất</v>
      </c>
      <c r="F25" s="247">
        <f t="shared" ca="1" si="0"/>
        <v>42630</v>
      </c>
      <c r="G25" s="248">
        <f ca="1">IF(ROWS($1:12)&gt;COUNT(Dong12),0,IF(MID(OFFSET(TH!D$1,SMALL(Dong12,ROWS($1:12)),),4,1)="N",OFFSET(TH!I$1,SMALL(Dong12,ROWS($1:12)),),0))</f>
        <v>0</v>
      </c>
      <c r="H25" s="248">
        <f ca="1">IF(ROWS($1:12)&gt;COUNT(Dong12),0,IF(MID(OFFSET(TH!D$1,SMALL(Dong12,ROWS($1:12)),),4,1)="X",OFFSET(TH!I$1,SMALL(Dong12,ROWS($1:12)),),0))</f>
        <v>18500</v>
      </c>
      <c r="I25" s="249">
        <f t="shared" ca="1" si="1"/>
        <v>54340</v>
      </c>
      <c r="J25" s="250"/>
      <c r="K25" s="251"/>
    </row>
    <row r="26" spans="1:11" ht="16.5" customHeight="1">
      <c r="A26" s="781">
        <f t="shared" ca="1" si="2"/>
        <v>13</v>
      </c>
      <c r="B26" s="247">
        <f ca="1">IF(ROWS($1:13)&gt;COUNT(Dong12),"",OFFSET(TH!E$1,SMALL(Dong12,ROWS($1:13)),))</f>
        <v>42712</v>
      </c>
      <c r="C26" s="292" t="str">
        <f ca="1">IF(ROWS($1:13)&gt;COUNT(Dong12),"",IF(MID(OFFSET(TH!D$1,SMALL(Dong12,ROWS($1:13)),),4,1)="N",OFFSET(TH!D$1,SMALL(Dong12,ROWS($1:13)),),""))</f>
        <v/>
      </c>
      <c r="D26" s="247" t="str">
        <f ca="1">IF(ROWS($1:13)&gt;COUNT(Dong12),"",IF(MID(OFFSET(TH!D$1,SMALL(Dong12,ROWS($1:13)),),4,1)="X",OFFSET(TH!D$1,SMALL(Dong12,ROWS($1:13)),),""))</f>
        <v>VL/X</v>
      </c>
      <c r="E26" s="413" t="str">
        <f ca="1">IF(ROWS($1:13)&gt;COUNT(Dong12),"",OFFSET(TH!H$1,SMALL(Dong12,ROWS($1:13)),))</f>
        <v>Xuất sản xuất</v>
      </c>
      <c r="F26" s="247">
        <f t="shared" ca="1" si="0"/>
        <v>42712</v>
      </c>
      <c r="G26" s="248">
        <f ca="1">IF(ROWS($1:13)&gt;COUNT(Dong12),0,IF(MID(OFFSET(TH!D$1,SMALL(Dong12,ROWS($1:13)),),4,1)="N",OFFSET(TH!I$1,SMALL(Dong12,ROWS($1:13)),),0))</f>
        <v>0</v>
      </c>
      <c r="H26" s="248">
        <f ca="1">IF(ROWS($1:13)&gt;COUNT(Dong12),0,IF(MID(OFFSET(TH!D$1,SMALL(Dong12,ROWS($1:13)),),4,1)="X",OFFSET(TH!I$1,SMALL(Dong12,ROWS($1:13)),),0))</f>
        <v>19820</v>
      </c>
      <c r="I26" s="249">
        <f t="shared" ca="1" si="1"/>
        <v>34520</v>
      </c>
      <c r="J26" s="250"/>
      <c r="K26" s="251"/>
    </row>
    <row r="27" spans="1:11" ht="16.5" customHeight="1">
      <c r="A27" s="781">
        <f t="shared" ca="1" si="2"/>
        <v>14</v>
      </c>
      <c r="B27" s="247">
        <f ca="1">IF(ROWS($1:14)&gt;COUNT(Dong12),"",OFFSET(TH!E$1,SMALL(Dong12,ROWS($1:14)),))</f>
        <v>42723</v>
      </c>
      <c r="C27" s="292" t="str">
        <f ca="1">IF(ROWS($1:14)&gt;COUNT(Dong12),"",IF(MID(OFFSET(TH!D$1,SMALL(Dong12,ROWS($1:14)),),4,1)="N",OFFSET(TH!D$1,SMALL(Dong12,ROWS($1:14)),),""))</f>
        <v/>
      </c>
      <c r="D27" s="247" t="str">
        <f ca="1">IF(ROWS($1:14)&gt;COUNT(Dong12),"",IF(MID(OFFSET(TH!D$1,SMALL(Dong12,ROWS($1:14)),),4,1)="X",OFFSET(TH!D$1,SMALL(Dong12,ROWS($1:14)),),""))</f>
        <v>VL/X</v>
      </c>
      <c r="E27" s="413" t="str">
        <f ca="1">IF(ROWS($1:14)&gt;COUNT(Dong12),"",OFFSET(TH!H$1,SMALL(Dong12,ROWS($1:14)),))</f>
        <v>Xuất sản xuất</v>
      </c>
      <c r="F27" s="247">
        <f t="shared" ca="1" si="0"/>
        <v>42723</v>
      </c>
      <c r="G27" s="248">
        <f ca="1">IF(ROWS($1:14)&gt;COUNT(Dong12),0,IF(MID(OFFSET(TH!D$1,SMALL(Dong12,ROWS($1:14)),),4,1)="N",OFFSET(TH!I$1,SMALL(Dong12,ROWS($1:14)),),0))</f>
        <v>0</v>
      </c>
      <c r="H27" s="248">
        <f ca="1">IF(ROWS($1:14)&gt;COUNT(Dong12),0,IF(MID(OFFSET(TH!D$1,SMALL(Dong12,ROWS($1:14)),),4,1)="X",OFFSET(TH!I$1,SMALL(Dong12,ROWS($1:14)),),0))</f>
        <v>6950</v>
      </c>
      <c r="I27" s="249">
        <f t="shared" ca="1" si="1"/>
        <v>27570</v>
      </c>
      <c r="J27" s="250"/>
      <c r="K27" s="251"/>
    </row>
    <row r="28" spans="1:11" ht="16.5" customHeight="1">
      <c r="A28" s="781" t="str">
        <f t="shared" ca="1" si="2"/>
        <v/>
      </c>
      <c r="B28" s="247" t="str">
        <f ca="1">IF(ROWS($1:15)&gt;COUNT(Dong12),"",OFFSET(TH!E$1,SMALL(Dong12,ROWS($1:15)),))</f>
        <v/>
      </c>
      <c r="C28" s="292" t="str">
        <f ca="1">IF(ROWS($1:15)&gt;COUNT(Dong12),"",IF(MID(OFFSET(TH!D$1,SMALL(Dong12,ROWS($1:15)),),4,1)="N",OFFSET(TH!D$1,SMALL(Dong12,ROWS($1:15)),),""))</f>
        <v/>
      </c>
      <c r="D28" s="247" t="str">
        <f ca="1">IF(ROWS($1:15)&gt;COUNT(Dong12),"",IF(MID(OFFSET(TH!D$1,SMALL(Dong12,ROWS($1:15)),),4,1)="X",OFFSET(TH!D$1,SMALL(Dong12,ROWS($1:15)),),""))</f>
        <v/>
      </c>
      <c r="E28" s="413" t="str">
        <f ca="1">IF(ROWS($1:15)&gt;COUNT(Dong12),"",OFFSET(TH!H$1,SMALL(Dong12,ROWS($1:15)),))</f>
        <v/>
      </c>
      <c r="F28" s="247" t="str">
        <f t="shared" ca="1" si="0"/>
        <v/>
      </c>
      <c r="G28" s="248">
        <f ca="1">IF(ROWS($1:15)&gt;COUNT(Dong12),0,IF(MID(OFFSET(TH!D$1,SMALL(Dong12,ROWS($1:15)),),4,1)="N",OFFSET(TH!I$1,SMALL(Dong12,ROWS($1:15)),),0))</f>
        <v>0</v>
      </c>
      <c r="H28" s="248">
        <f ca="1">IF(ROWS($1:15)&gt;COUNT(Dong12),0,IF(MID(OFFSET(TH!D$1,SMALL(Dong12,ROWS($1:15)),),4,1)="X",OFFSET(TH!I$1,SMALL(Dong12,ROWS($1:15)),),0))</f>
        <v>0</v>
      </c>
      <c r="I28" s="249">
        <f t="shared" ca="1" si="1"/>
        <v>0</v>
      </c>
      <c r="J28" s="250"/>
      <c r="K28" s="251"/>
    </row>
    <row r="29" spans="1:11" ht="16.5" customHeight="1">
      <c r="A29" s="781" t="str">
        <f t="shared" ca="1" si="2"/>
        <v/>
      </c>
      <c r="B29" s="247" t="str">
        <f ca="1">IF(ROWS($1:16)&gt;COUNT(Dong12),"",OFFSET(TH!E$1,SMALL(Dong12,ROWS($1:16)),))</f>
        <v/>
      </c>
      <c r="C29" s="292" t="str">
        <f ca="1">IF(ROWS($1:16)&gt;COUNT(Dong12),"",IF(MID(OFFSET(TH!D$1,SMALL(Dong12,ROWS($1:16)),),4,1)="N",OFFSET(TH!D$1,SMALL(Dong12,ROWS($1:16)),),""))</f>
        <v/>
      </c>
      <c r="D29" s="247" t="str">
        <f ca="1">IF(ROWS($1:16)&gt;COUNT(Dong12),"",IF(MID(OFFSET(TH!D$1,SMALL(Dong12,ROWS($1:16)),),4,1)="X",OFFSET(TH!D$1,SMALL(Dong12,ROWS($1:16)),),""))</f>
        <v/>
      </c>
      <c r="E29" s="413" t="str">
        <f ca="1">IF(ROWS($1:16)&gt;COUNT(Dong12),"",OFFSET(TH!H$1,SMALL(Dong12,ROWS($1:16)),))</f>
        <v/>
      </c>
      <c r="F29" s="247" t="str">
        <f t="shared" ca="1" si="0"/>
        <v/>
      </c>
      <c r="G29" s="248">
        <f ca="1">IF(ROWS($1:16)&gt;COUNT(Dong12),0,IF(MID(OFFSET(TH!D$1,SMALL(Dong12,ROWS($1:16)),),4,1)="N",OFFSET(TH!I$1,SMALL(Dong12,ROWS($1:16)),),0))</f>
        <v>0</v>
      </c>
      <c r="H29" s="248">
        <f ca="1">IF(ROWS($1:16)&gt;COUNT(Dong12),0,IF(MID(OFFSET(TH!D$1,SMALL(Dong12,ROWS($1:16)),),4,1)="X",OFFSET(TH!I$1,SMALL(Dong12,ROWS($1:16)),),0))</f>
        <v>0</v>
      </c>
      <c r="I29" s="249">
        <f t="shared" ca="1" si="1"/>
        <v>0</v>
      </c>
      <c r="J29" s="250"/>
      <c r="K29" s="251"/>
    </row>
    <row r="30" spans="1:11" ht="16.5" customHeight="1">
      <c r="A30" s="781" t="str">
        <f t="shared" ca="1" si="2"/>
        <v/>
      </c>
      <c r="B30" s="247" t="str">
        <f ca="1">IF(ROWS($1:17)&gt;COUNT(Dong12),"",OFFSET(TH!E$1,SMALL(Dong12,ROWS($1:17)),))</f>
        <v/>
      </c>
      <c r="C30" s="292" t="str">
        <f ca="1">IF(ROWS($1:17)&gt;COUNT(Dong12),"",IF(MID(OFFSET(TH!D$1,SMALL(Dong12,ROWS($1:17)),),4,1)="N",OFFSET(TH!D$1,SMALL(Dong12,ROWS($1:17)),),""))</f>
        <v/>
      </c>
      <c r="D30" s="247" t="str">
        <f ca="1">IF(ROWS($1:17)&gt;COUNT(Dong12),"",IF(MID(OFFSET(TH!D$1,SMALL(Dong12,ROWS($1:17)),),4,1)="X",OFFSET(TH!D$1,SMALL(Dong12,ROWS($1:17)),),""))</f>
        <v/>
      </c>
      <c r="E30" s="413" t="str">
        <f ca="1">IF(ROWS($1:17)&gt;COUNT(Dong12),"",OFFSET(TH!H$1,SMALL(Dong12,ROWS($1:17)),))</f>
        <v/>
      </c>
      <c r="F30" s="247" t="str">
        <f t="shared" ca="1" si="0"/>
        <v/>
      </c>
      <c r="G30" s="248">
        <f ca="1">IF(ROWS($1:17)&gt;COUNT(Dong12),0,IF(MID(OFFSET(TH!D$1,SMALL(Dong12,ROWS($1:17)),),4,1)="N",OFFSET(TH!I$1,SMALL(Dong12,ROWS($1:17)),),0))</f>
        <v>0</v>
      </c>
      <c r="H30" s="248">
        <f ca="1">IF(ROWS($1:17)&gt;COUNT(Dong12),0,IF(MID(OFFSET(TH!D$1,SMALL(Dong12,ROWS($1:17)),),4,1)="X",OFFSET(TH!I$1,SMALL(Dong12,ROWS($1:17)),),0))</f>
        <v>0</v>
      </c>
      <c r="I30" s="249">
        <f t="shared" ca="1" si="1"/>
        <v>0</v>
      </c>
      <c r="J30" s="250"/>
      <c r="K30" s="251"/>
    </row>
    <row r="31" spans="1:11" ht="16.5" customHeight="1">
      <c r="A31" s="782" t="str">
        <f>IF(D31&lt;&gt;"",A21+1,"")</f>
        <v/>
      </c>
      <c r="B31" s="252"/>
      <c r="C31" s="253"/>
      <c r="D31" s="253"/>
      <c r="E31" s="414"/>
      <c r="F31" s="252"/>
      <c r="G31" s="254"/>
      <c r="H31" s="254"/>
      <c r="I31" s="254"/>
      <c r="J31" s="255"/>
      <c r="K31" s="251"/>
    </row>
    <row r="32" spans="1:11" ht="16.5" customHeight="1">
      <c r="A32" s="242"/>
      <c r="B32" s="256"/>
      <c r="C32" s="242"/>
      <c r="D32" s="242"/>
      <c r="E32" s="243" t="s">
        <v>228</v>
      </c>
      <c r="F32" s="257" t="s">
        <v>19</v>
      </c>
      <c r="G32" s="258">
        <f ca="1">SUM(G14:G31)</f>
        <v>119810</v>
      </c>
      <c r="H32" s="258">
        <f ca="1">SUM(H14:H31)</f>
        <v>92240</v>
      </c>
      <c r="I32" s="258">
        <f ca="1">I13+G32-H32</f>
        <v>27570</v>
      </c>
      <c r="J32" s="242" t="s">
        <v>19</v>
      </c>
      <c r="K32" s="259"/>
    </row>
    <row r="33" spans="1:11" ht="12.75" customHeight="1">
      <c r="A33" s="260"/>
      <c r="B33" s="224"/>
      <c r="C33" s="260"/>
      <c r="D33" s="260"/>
      <c r="E33" s="227"/>
      <c r="F33" s="224"/>
      <c r="G33" s="228"/>
      <c r="H33" s="228"/>
      <c r="I33" s="228"/>
      <c r="J33" s="220"/>
      <c r="K33" s="220"/>
    </row>
    <row r="34" spans="1:11" ht="15">
      <c r="A34" s="261" t="s">
        <v>229</v>
      </c>
      <c r="B34" s="261"/>
      <c r="C34" s="262"/>
      <c r="D34" s="262"/>
      <c r="E34" s="227"/>
      <c r="F34" s="224"/>
      <c r="G34" s="228"/>
      <c r="H34" s="228"/>
      <c r="I34" s="228"/>
      <c r="J34" s="220"/>
      <c r="K34" s="220"/>
    </row>
    <row r="35" spans="1:11" ht="15">
      <c r="A35" s="93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33"/>
      <c r="C35" s="933"/>
      <c r="D35" s="933"/>
      <c r="E35" s="933"/>
      <c r="F35" s="224"/>
      <c r="G35" s="228"/>
      <c r="H35" s="228"/>
      <c r="I35" s="228"/>
      <c r="J35" s="220"/>
      <c r="K35" s="220"/>
    </row>
    <row r="36" spans="1:11" ht="15">
      <c r="A36" s="263"/>
      <c r="B36" s="264"/>
      <c r="C36" s="265"/>
      <c r="D36" s="260"/>
      <c r="E36" s="227"/>
      <c r="F36" s="224"/>
      <c r="H36" s="164"/>
      <c r="I36" s="368" t="str">
        <f ca="1">"Ngày 31 tháng  12  năm  "&amp;YEAR($B$14)</f>
        <v>Ngày 31 tháng  12  năm  2016</v>
      </c>
      <c r="J36" s="164"/>
      <c r="K36" s="368"/>
    </row>
    <row r="37" spans="1:11" ht="15" customHeight="1">
      <c r="A37" s="263"/>
      <c r="C37" s="651" t="s">
        <v>230</v>
      </c>
      <c r="D37" s="260"/>
      <c r="E37" s="934" t="s">
        <v>12</v>
      </c>
      <c r="F37" s="934"/>
      <c r="G37" s="228"/>
      <c r="I37" s="396" t="s">
        <v>104</v>
      </c>
      <c r="J37" s="222"/>
      <c r="K37" s="263"/>
    </row>
    <row r="38" spans="1:11" ht="15" customHeight="1">
      <c r="A38" s="266"/>
      <c r="C38" s="267" t="s">
        <v>13</v>
      </c>
      <c r="D38" s="268"/>
      <c r="E38" s="928" t="s">
        <v>13</v>
      </c>
      <c r="F38" s="928"/>
      <c r="G38" s="228"/>
      <c r="I38" s="397" t="s">
        <v>131</v>
      </c>
      <c r="J38" s="395"/>
      <c r="K38" s="26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7" sqref="B17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80" t="str">
        <f>TH!$A$1</f>
        <v>Đơn vị: CÔNG TY TNHH BAO BÌ GIẤY KIM DUNG PHÁT</v>
      </c>
      <c r="B1" s="456"/>
      <c r="C1" s="454"/>
      <c r="D1" s="466"/>
      <c r="E1" s="492"/>
      <c r="F1" s="492"/>
      <c r="G1" s="492"/>
      <c r="H1" s="159"/>
      <c r="I1" s="400"/>
      <c r="J1" s="400"/>
      <c r="K1" s="159"/>
      <c r="L1" s="467"/>
      <c r="M1" s="467"/>
      <c r="N1" s="159"/>
      <c r="O1" s="454"/>
      <c r="P1" s="492"/>
      <c r="Q1" s="159"/>
      <c r="R1" s="455"/>
    </row>
    <row r="2" spans="1:18" ht="18.75" customHeight="1">
      <c r="A2" s="457" t="s">
        <v>411</v>
      </c>
      <c r="B2" s="457"/>
      <c r="C2" s="454"/>
      <c r="D2" s="466"/>
      <c r="E2" s="531"/>
      <c r="F2" s="531"/>
      <c r="G2" s="531"/>
      <c r="H2" s="457"/>
      <c r="I2" s="457"/>
      <c r="J2" s="457"/>
      <c r="K2" s="457"/>
      <c r="L2" s="467"/>
      <c r="M2" s="467"/>
      <c r="N2" s="159"/>
      <c r="O2" s="454"/>
      <c r="P2" s="492"/>
      <c r="Q2" s="159"/>
      <c r="R2" s="455"/>
    </row>
    <row r="3" spans="1:18" ht="12.75" customHeight="1">
      <c r="A3" s="490"/>
      <c r="B3" s="487"/>
      <c r="C3" s="490"/>
      <c r="D3" s="490"/>
      <c r="E3" s="532"/>
      <c r="F3" s="532"/>
      <c r="G3" s="532"/>
      <c r="H3" s="487"/>
      <c r="I3" s="469"/>
      <c r="J3" s="469"/>
      <c r="K3" s="487"/>
      <c r="L3" s="467"/>
      <c r="M3" s="467"/>
      <c r="N3" s="462"/>
      <c r="O3" s="490"/>
      <c r="P3" s="493"/>
      <c r="Q3" s="470"/>
      <c r="R3" s="490"/>
    </row>
    <row r="4" spans="1:18" ht="21" customHeight="1">
      <c r="A4" s="937" t="s">
        <v>34</v>
      </c>
      <c r="B4" s="937" t="s">
        <v>231</v>
      </c>
      <c r="C4" s="937" t="s">
        <v>383</v>
      </c>
      <c r="D4" s="937" t="s">
        <v>384</v>
      </c>
      <c r="E4" s="941" t="s">
        <v>385</v>
      </c>
      <c r="F4" s="941"/>
      <c r="G4" s="941"/>
      <c r="H4" s="941"/>
      <c r="I4" s="937" t="s">
        <v>395</v>
      </c>
      <c r="J4" s="937" t="s">
        <v>232</v>
      </c>
      <c r="K4" s="937" t="s">
        <v>389</v>
      </c>
      <c r="L4" s="275"/>
      <c r="M4" s="275"/>
      <c r="N4" s="937" t="s">
        <v>231</v>
      </c>
      <c r="O4" s="937" t="s">
        <v>390</v>
      </c>
      <c r="P4" s="937" t="s">
        <v>190</v>
      </c>
      <c r="Q4" s="937" t="s">
        <v>233</v>
      </c>
      <c r="R4" s="937" t="s">
        <v>234</v>
      </c>
    </row>
    <row r="5" spans="1:18" ht="21" customHeight="1">
      <c r="A5" s="937"/>
      <c r="B5" s="937"/>
      <c r="C5" s="937"/>
      <c r="D5" s="937"/>
      <c r="E5" s="494" t="s">
        <v>386</v>
      </c>
      <c r="F5" s="494" t="s">
        <v>387</v>
      </c>
      <c r="G5" s="494" t="s">
        <v>388</v>
      </c>
      <c r="H5" s="274" t="s">
        <v>393</v>
      </c>
      <c r="I5" s="937"/>
      <c r="J5" s="937"/>
      <c r="K5" s="937"/>
      <c r="L5" s="275"/>
      <c r="M5" s="275"/>
      <c r="N5" s="937"/>
      <c r="O5" s="937"/>
      <c r="P5" s="937"/>
      <c r="Q5" s="937"/>
      <c r="R5" s="937"/>
    </row>
    <row r="6" spans="1:18" ht="16.5" customHeight="1">
      <c r="A6" s="790">
        <f>IF(B6&lt;&gt;"",ROW()-(ROW()-1),"")</f>
        <v>1</v>
      </c>
      <c r="B6" s="160" t="s">
        <v>491</v>
      </c>
      <c r="C6" s="472">
        <v>42566</v>
      </c>
      <c r="D6" s="473" t="s">
        <v>697</v>
      </c>
      <c r="E6" s="533">
        <v>85.5</v>
      </c>
      <c r="F6" s="533">
        <v>100.5</v>
      </c>
      <c r="G6" s="533">
        <v>35</v>
      </c>
      <c r="H6" s="529">
        <f>IF(G6&lt;&gt;"",ROUND(((E6+F6)*2+5)*(F6+G6+3)/10000,2),ROUND(E6*F6/10000,2))</f>
        <v>5.22</v>
      </c>
      <c r="I6" s="459">
        <f t="shared" ref="I6:I37" si="0">H6*J6</f>
        <v>381.06</v>
      </c>
      <c r="J6" s="575">
        <v>73</v>
      </c>
      <c r="K6" s="459">
        <f t="shared" ref="K6:K14" si="1">H6*$R$33</f>
        <v>43030.791972046798</v>
      </c>
      <c r="L6" s="412">
        <v>21849</v>
      </c>
      <c r="M6" s="471"/>
      <c r="N6" s="276" t="s">
        <v>403</v>
      </c>
      <c r="O6" s="472">
        <v>42529</v>
      </c>
      <c r="P6" s="163">
        <v>10288</v>
      </c>
      <c r="Q6" s="489">
        <v>7500</v>
      </c>
      <c r="R6" s="5">
        <f t="shared" ref="R6:R7" si="2">ROUND(P6*Q6,0)</f>
        <v>77160000</v>
      </c>
    </row>
    <row r="7" spans="1:18" ht="16.5" customHeight="1">
      <c r="A7" s="790">
        <f>IF(B7&lt;&gt;"",A6+1,"")</f>
        <v>2</v>
      </c>
      <c r="B7" s="161" t="s">
        <v>495</v>
      </c>
      <c r="C7" s="474">
        <v>42566</v>
      </c>
      <c r="D7" s="475" t="s">
        <v>698</v>
      </c>
      <c r="E7" s="534">
        <v>117</v>
      </c>
      <c r="F7" s="533">
        <v>87</v>
      </c>
      <c r="G7" s="533">
        <v>5</v>
      </c>
      <c r="H7" s="574">
        <f t="shared" ref="H7:H70" si="3">IF(G7&lt;&gt;"",ROUND(((E7+F7)*2+5)*(F7+G7+3)/10000,2),ROUND(E7*F7/10000,2))</f>
        <v>3.92</v>
      </c>
      <c r="I7" s="134">
        <f t="shared" si="0"/>
        <v>392</v>
      </c>
      <c r="J7" s="549">
        <v>100</v>
      </c>
      <c r="K7" s="134">
        <f t="shared" si="1"/>
        <v>32314.311212724799</v>
      </c>
      <c r="L7" s="412">
        <v>10000</v>
      </c>
      <c r="M7" s="471"/>
      <c r="N7" s="277" t="s">
        <v>403</v>
      </c>
      <c r="O7" s="472">
        <v>42542</v>
      </c>
      <c r="P7" s="495">
        <v>4094</v>
      </c>
      <c r="Q7" s="488">
        <v>7600</v>
      </c>
      <c r="R7" s="5">
        <f t="shared" si="2"/>
        <v>31114400</v>
      </c>
    </row>
    <row r="8" spans="1:18" ht="16.5" customHeight="1">
      <c r="A8" s="790">
        <f t="shared" ref="A8:A120" si="4">IF(B8&lt;&gt;"",A7+1,"")</f>
        <v>3</v>
      </c>
      <c r="B8" s="161" t="s">
        <v>496</v>
      </c>
      <c r="C8" s="474">
        <v>42566</v>
      </c>
      <c r="D8" s="475" t="s">
        <v>698</v>
      </c>
      <c r="E8" s="534">
        <v>103</v>
      </c>
      <c r="F8" s="533">
        <v>54</v>
      </c>
      <c r="G8" s="533">
        <v>180</v>
      </c>
      <c r="H8" s="574">
        <f t="shared" si="3"/>
        <v>7.56</v>
      </c>
      <c r="I8" s="134">
        <f t="shared" si="0"/>
        <v>876.95999999999992</v>
      </c>
      <c r="J8" s="549">
        <v>116</v>
      </c>
      <c r="K8" s="134">
        <f t="shared" si="1"/>
        <v>62320.457338826389</v>
      </c>
      <c r="L8" s="412">
        <v>73100</v>
      </c>
      <c r="M8" s="471"/>
      <c r="N8" s="277" t="s">
        <v>405</v>
      </c>
      <c r="O8" s="472">
        <v>42542</v>
      </c>
      <c r="P8" s="495">
        <v>4522</v>
      </c>
      <c r="Q8" s="488">
        <v>8500</v>
      </c>
      <c r="R8" s="5">
        <f t="shared" ref="R8:R12" si="5">ROUND(P8*Q8,0)</f>
        <v>38437000</v>
      </c>
    </row>
    <row r="9" spans="1:18" ht="16.5" customHeight="1">
      <c r="A9" s="790">
        <f t="shared" si="4"/>
        <v>4</v>
      </c>
      <c r="B9" s="161" t="s">
        <v>497</v>
      </c>
      <c r="C9" s="474">
        <v>42566</v>
      </c>
      <c r="D9" s="475" t="s">
        <v>699</v>
      </c>
      <c r="E9" s="534">
        <v>88</v>
      </c>
      <c r="F9" s="533">
        <v>68</v>
      </c>
      <c r="G9" s="533">
        <v>15</v>
      </c>
      <c r="H9" s="574">
        <f t="shared" si="3"/>
        <v>2.73</v>
      </c>
      <c r="I9" s="134">
        <f t="shared" si="0"/>
        <v>600.6</v>
      </c>
      <c r="J9" s="549">
        <v>220</v>
      </c>
      <c r="K9" s="134">
        <f t="shared" si="1"/>
        <v>22504.609594576199</v>
      </c>
      <c r="L9" s="412">
        <v>28000</v>
      </c>
      <c r="M9" s="471"/>
      <c r="N9" s="277" t="s">
        <v>448</v>
      </c>
      <c r="O9" s="472">
        <v>42542</v>
      </c>
      <c r="P9" s="495">
        <v>2633</v>
      </c>
      <c r="Q9" s="488">
        <v>8500</v>
      </c>
      <c r="R9" s="5">
        <f t="shared" si="5"/>
        <v>22380500</v>
      </c>
    </row>
    <row r="10" spans="1:18" ht="16.5" customHeight="1">
      <c r="A10" s="790">
        <f t="shared" si="4"/>
        <v>5</v>
      </c>
      <c r="B10" s="161" t="s">
        <v>498</v>
      </c>
      <c r="C10" s="474">
        <v>42566</v>
      </c>
      <c r="D10" s="475" t="s">
        <v>699</v>
      </c>
      <c r="E10" s="534">
        <v>47</v>
      </c>
      <c r="F10" s="533">
        <v>42</v>
      </c>
      <c r="G10" s="533">
        <v>25</v>
      </c>
      <c r="H10" s="574">
        <f t="shared" si="3"/>
        <v>1.28</v>
      </c>
      <c r="I10" s="134">
        <f t="shared" si="0"/>
        <v>456.96000000000004</v>
      </c>
      <c r="J10" s="549">
        <v>357</v>
      </c>
      <c r="K10" s="134">
        <f t="shared" si="1"/>
        <v>10551.611824563199</v>
      </c>
      <c r="L10" s="412">
        <v>9600</v>
      </c>
      <c r="M10" s="471"/>
      <c r="N10" s="277" t="s">
        <v>403</v>
      </c>
      <c r="O10" s="472">
        <v>42551</v>
      </c>
      <c r="P10" s="495">
        <v>6226</v>
      </c>
      <c r="Q10" s="488">
        <v>7600</v>
      </c>
      <c r="R10" s="5">
        <f t="shared" si="5"/>
        <v>47317600</v>
      </c>
    </row>
    <row r="11" spans="1:18" ht="16.5" customHeight="1">
      <c r="A11" s="790">
        <f t="shared" si="4"/>
        <v>6</v>
      </c>
      <c r="B11" s="161" t="s">
        <v>499</v>
      </c>
      <c r="C11" s="474">
        <v>42566</v>
      </c>
      <c r="D11" s="475" t="s">
        <v>699</v>
      </c>
      <c r="E11" s="534">
        <v>48</v>
      </c>
      <c r="F11" s="533">
        <v>41</v>
      </c>
      <c r="G11" s="533">
        <v>29</v>
      </c>
      <c r="H11" s="574">
        <f t="shared" si="3"/>
        <v>1.34</v>
      </c>
      <c r="I11" s="134">
        <f t="shared" si="0"/>
        <v>93.800000000000011</v>
      </c>
      <c r="J11" s="549">
        <v>70</v>
      </c>
      <c r="K11" s="134">
        <f t="shared" si="1"/>
        <v>11046.218628839601</v>
      </c>
      <c r="L11" s="412">
        <v>14400</v>
      </c>
      <c r="M11" s="471"/>
      <c r="N11" s="277" t="s">
        <v>405</v>
      </c>
      <c r="O11" s="472">
        <v>42551</v>
      </c>
      <c r="P11" s="495">
        <v>8730</v>
      </c>
      <c r="Q11" s="488">
        <v>8500</v>
      </c>
      <c r="R11" s="5">
        <f t="shared" si="5"/>
        <v>74205000</v>
      </c>
    </row>
    <row r="12" spans="1:18" ht="16.5" customHeight="1">
      <c r="A12" s="790">
        <f t="shared" si="4"/>
        <v>7</v>
      </c>
      <c r="B12" s="161" t="s">
        <v>500</v>
      </c>
      <c r="C12" s="474">
        <v>42567</v>
      </c>
      <c r="D12" s="475" t="s">
        <v>700</v>
      </c>
      <c r="E12" s="534">
        <v>45</v>
      </c>
      <c r="F12" s="533">
        <v>37</v>
      </c>
      <c r="G12" s="533">
        <v>27.5</v>
      </c>
      <c r="H12" s="574">
        <f t="shared" si="3"/>
        <v>1.1399999999999999</v>
      </c>
      <c r="I12" s="134">
        <f t="shared" si="0"/>
        <v>341.99999999999994</v>
      </c>
      <c r="J12" s="549">
        <v>300</v>
      </c>
      <c r="K12" s="134">
        <f t="shared" si="1"/>
        <v>9397.5292812515981</v>
      </c>
      <c r="L12" s="412">
        <v>13400</v>
      </c>
      <c r="M12" s="471"/>
      <c r="N12" s="277" t="s">
        <v>448</v>
      </c>
      <c r="O12" s="472">
        <v>42551</v>
      </c>
      <c r="P12" s="495">
        <v>8191</v>
      </c>
      <c r="Q12" s="488">
        <v>8500</v>
      </c>
      <c r="R12" s="5">
        <f t="shared" si="5"/>
        <v>69623500</v>
      </c>
    </row>
    <row r="13" spans="1:18" ht="16.5" customHeight="1">
      <c r="A13" s="790">
        <f t="shared" si="4"/>
        <v>8</v>
      </c>
      <c r="B13" s="161" t="s">
        <v>500</v>
      </c>
      <c r="C13" s="474">
        <v>42567</v>
      </c>
      <c r="D13" s="475" t="s">
        <v>700</v>
      </c>
      <c r="E13" s="534">
        <v>45</v>
      </c>
      <c r="F13" s="533">
        <v>37</v>
      </c>
      <c r="G13" s="533">
        <v>27.5</v>
      </c>
      <c r="H13" s="574">
        <f t="shared" si="3"/>
        <v>1.1399999999999999</v>
      </c>
      <c r="I13" s="134">
        <f t="shared" si="0"/>
        <v>570</v>
      </c>
      <c r="J13" s="549">
        <v>500</v>
      </c>
      <c r="K13" s="134">
        <f t="shared" si="1"/>
        <v>9397.5292812515981</v>
      </c>
      <c r="L13" s="412">
        <v>13800</v>
      </c>
      <c r="M13" s="471"/>
      <c r="N13" s="277"/>
      <c r="O13" s="472"/>
      <c r="P13" s="495"/>
      <c r="Q13" s="488"/>
      <c r="R13" s="5"/>
    </row>
    <row r="14" spans="1:18" ht="16.5" customHeight="1">
      <c r="A14" s="790">
        <f t="shared" si="4"/>
        <v>9</v>
      </c>
      <c r="B14" s="161" t="s">
        <v>375</v>
      </c>
      <c r="C14" s="474">
        <v>42567</v>
      </c>
      <c r="D14" s="475" t="s">
        <v>700</v>
      </c>
      <c r="E14" s="534">
        <v>44</v>
      </c>
      <c r="F14" s="533">
        <v>20</v>
      </c>
      <c r="G14" s="533"/>
      <c r="H14" s="574">
        <f t="shared" si="3"/>
        <v>0.09</v>
      </c>
      <c r="I14" s="134">
        <f t="shared" si="0"/>
        <v>144</v>
      </c>
      <c r="J14" s="549">
        <v>1600</v>
      </c>
      <c r="K14" s="134">
        <f t="shared" si="1"/>
        <v>741.91020641459988</v>
      </c>
      <c r="L14" s="412">
        <v>1300</v>
      </c>
      <c r="M14" s="471"/>
      <c r="N14" s="525" t="s">
        <v>377</v>
      </c>
      <c r="O14" s="526"/>
      <c r="P14" s="527"/>
      <c r="Q14" s="346"/>
      <c r="R14" s="346">
        <f>SUM(R6:R13)</f>
        <v>360238000</v>
      </c>
    </row>
    <row r="15" spans="1:18" ht="16.5" customHeight="1">
      <c r="A15" s="790">
        <f t="shared" si="4"/>
        <v>10</v>
      </c>
      <c r="B15" s="161" t="s">
        <v>501</v>
      </c>
      <c r="C15" s="474">
        <v>42567</v>
      </c>
      <c r="D15" s="475" t="s">
        <v>701</v>
      </c>
      <c r="E15" s="534">
        <v>55</v>
      </c>
      <c r="F15" s="533">
        <v>28</v>
      </c>
      <c r="G15" s="533">
        <v>23.5</v>
      </c>
      <c r="H15" s="574">
        <f t="shared" si="3"/>
        <v>0.93</v>
      </c>
      <c r="I15" s="134">
        <f t="shared" si="0"/>
        <v>934.65000000000009</v>
      </c>
      <c r="J15" s="549">
        <v>1005</v>
      </c>
      <c r="K15" s="134">
        <f t="shared" ref="K15:K21" si="6">H15*$R$33</f>
        <v>7666.4054662842</v>
      </c>
      <c r="L15" s="412">
        <v>11000</v>
      </c>
      <c r="M15" s="471"/>
      <c r="N15" s="109" t="s">
        <v>442</v>
      </c>
      <c r="O15" s="474">
        <v>42595</v>
      </c>
      <c r="P15" s="488">
        <v>19810</v>
      </c>
      <c r="Q15" s="488">
        <v>780</v>
      </c>
      <c r="R15" s="5">
        <f t="shared" ref="R15" si="7">ROUND(P15*Q15,0)</f>
        <v>15451800</v>
      </c>
    </row>
    <row r="16" spans="1:18" ht="16.5" customHeight="1">
      <c r="A16" s="790">
        <f t="shared" si="4"/>
        <v>11</v>
      </c>
      <c r="B16" s="161" t="s">
        <v>502</v>
      </c>
      <c r="C16" s="474">
        <v>42569</v>
      </c>
      <c r="D16" s="475" t="s">
        <v>702</v>
      </c>
      <c r="E16" s="534">
        <v>37.5</v>
      </c>
      <c r="F16" s="533">
        <v>23.5</v>
      </c>
      <c r="G16" s="533">
        <v>69.5</v>
      </c>
      <c r="H16" s="574">
        <f t="shared" si="3"/>
        <v>1.22</v>
      </c>
      <c r="I16" s="134">
        <f t="shared" si="0"/>
        <v>309.88</v>
      </c>
      <c r="J16" s="549">
        <v>254</v>
      </c>
      <c r="K16" s="134">
        <f t="shared" si="6"/>
        <v>10057.005020286799</v>
      </c>
      <c r="L16" s="412">
        <v>10300</v>
      </c>
      <c r="M16" s="471"/>
      <c r="N16" s="109" t="s">
        <v>442</v>
      </c>
      <c r="O16" s="110">
        <v>42601</v>
      </c>
      <c r="P16" s="133">
        <v>14330</v>
      </c>
      <c r="Q16" s="133">
        <v>780</v>
      </c>
      <c r="R16" s="5">
        <f t="shared" ref="R16:R20" si="8">ROUND(P16*Q16,0)</f>
        <v>11177400</v>
      </c>
    </row>
    <row r="17" spans="1:18" ht="16.5" customHeight="1">
      <c r="A17" s="790">
        <f t="shared" si="4"/>
        <v>12</v>
      </c>
      <c r="B17" s="161" t="s">
        <v>503</v>
      </c>
      <c r="C17" s="474">
        <v>42569</v>
      </c>
      <c r="D17" s="475" t="s">
        <v>703</v>
      </c>
      <c r="E17" s="534">
        <v>40</v>
      </c>
      <c r="F17" s="533">
        <v>25</v>
      </c>
      <c r="G17" s="533">
        <v>72</v>
      </c>
      <c r="H17" s="574">
        <f t="shared" si="3"/>
        <v>1.35</v>
      </c>
      <c r="I17" s="134">
        <f t="shared" si="0"/>
        <v>101.25</v>
      </c>
      <c r="J17" s="549">
        <v>75</v>
      </c>
      <c r="K17" s="134">
        <f t="shared" si="6"/>
        <v>11128.653096218999</v>
      </c>
      <c r="L17" s="412">
        <v>10800</v>
      </c>
      <c r="M17" s="471"/>
      <c r="N17" s="109" t="s">
        <v>442</v>
      </c>
      <c r="O17" s="110">
        <v>42613</v>
      </c>
      <c r="P17" s="133">
        <v>12830</v>
      </c>
      <c r="Q17" s="133">
        <v>780</v>
      </c>
      <c r="R17" s="5">
        <f t="shared" si="8"/>
        <v>10007400</v>
      </c>
    </row>
    <row r="18" spans="1:18" ht="16.5" customHeight="1">
      <c r="A18" s="790">
        <f t="shared" si="4"/>
        <v>13</v>
      </c>
      <c r="B18" s="161" t="s">
        <v>506</v>
      </c>
      <c r="C18" s="474">
        <v>42571</v>
      </c>
      <c r="D18" s="475" t="s">
        <v>704</v>
      </c>
      <c r="E18" s="534">
        <v>70</v>
      </c>
      <c r="F18" s="533">
        <v>45</v>
      </c>
      <c r="G18" s="533"/>
      <c r="H18" s="574">
        <f t="shared" si="3"/>
        <v>0.32</v>
      </c>
      <c r="I18" s="134">
        <f t="shared" si="0"/>
        <v>160</v>
      </c>
      <c r="J18" s="549">
        <v>500</v>
      </c>
      <c r="K18" s="134">
        <f t="shared" si="6"/>
        <v>2637.9029561407997</v>
      </c>
      <c r="L18" s="412">
        <v>3200</v>
      </c>
      <c r="M18" s="471"/>
      <c r="N18" s="109" t="s">
        <v>775</v>
      </c>
      <c r="O18" s="110">
        <v>42625</v>
      </c>
      <c r="P18" s="133">
        <v>21050</v>
      </c>
      <c r="Q18" s="133">
        <v>750</v>
      </c>
      <c r="R18" s="5">
        <f t="shared" si="8"/>
        <v>15787500</v>
      </c>
    </row>
    <row r="19" spans="1:18" ht="16.5" customHeight="1">
      <c r="A19" s="790">
        <f t="shared" si="4"/>
        <v>14</v>
      </c>
      <c r="B19" s="161" t="s">
        <v>507</v>
      </c>
      <c r="C19" s="474">
        <v>42571</v>
      </c>
      <c r="D19" s="475" t="s">
        <v>704</v>
      </c>
      <c r="E19" s="534">
        <v>50</v>
      </c>
      <c r="F19" s="533">
        <v>40</v>
      </c>
      <c r="G19" s="533"/>
      <c r="H19" s="574">
        <f t="shared" si="3"/>
        <v>0.2</v>
      </c>
      <c r="I19" s="134">
        <f t="shared" si="0"/>
        <v>60</v>
      </c>
      <c r="J19" s="549">
        <v>300</v>
      </c>
      <c r="K19" s="134">
        <f t="shared" si="6"/>
        <v>1648.6893475879999</v>
      </c>
      <c r="L19" s="412">
        <v>2200</v>
      </c>
      <c r="M19" s="471"/>
      <c r="N19" s="109" t="s">
        <v>442</v>
      </c>
      <c r="O19" s="474">
        <v>42630</v>
      </c>
      <c r="P19" s="133">
        <v>18500</v>
      </c>
      <c r="Q19" s="133">
        <v>780</v>
      </c>
      <c r="R19" s="5">
        <f t="shared" si="8"/>
        <v>14430000</v>
      </c>
    </row>
    <row r="20" spans="1:18" ht="16.5" customHeight="1">
      <c r="A20" s="790">
        <f t="shared" si="4"/>
        <v>15</v>
      </c>
      <c r="B20" s="161" t="s">
        <v>508</v>
      </c>
      <c r="C20" s="474">
        <v>42571</v>
      </c>
      <c r="D20" s="475" t="s">
        <v>705</v>
      </c>
      <c r="E20" s="534">
        <v>37.5</v>
      </c>
      <c r="F20" s="533">
        <v>25.5</v>
      </c>
      <c r="G20" s="533">
        <v>23.9</v>
      </c>
      <c r="H20" s="574">
        <f t="shared" si="3"/>
        <v>0.69</v>
      </c>
      <c r="I20" s="134">
        <f t="shared" si="0"/>
        <v>1075.7099999999998</v>
      </c>
      <c r="J20" s="549">
        <v>1559</v>
      </c>
      <c r="K20" s="134">
        <f t="shared" si="6"/>
        <v>5687.9782491785991</v>
      </c>
      <c r="L20" s="412">
        <v>5900</v>
      </c>
      <c r="M20" s="471"/>
      <c r="N20" s="109" t="s">
        <v>775</v>
      </c>
      <c r="O20" s="474">
        <v>42633</v>
      </c>
      <c r="P20" s="133">
        <v>22450</v>
      </c>
      <c r="Q20" s="133">
        <v>750</v>
      </c>
      <c r="R20" s="5">
        <f t="shared" si="8"/>
        <v>16837500</v>
      </c>
    </row>
    <row r="21" spans="1:18" ht="16.5" customHeight="1">
      <c r="A21" s="790">
        <f t="shared" si="4"/>
        <v>16</v>
      </c>
      <c r="B21" s="161" t="s">
        <v>510</v>
      </c>
      <c r="C21" s="474">
        <v>42572</v>
      </c>
      <c r="D21" s="475" t="s">
        <v>706</v>
      </c>
      <c r="E21" s="534">
        <v>72</v>
      </c>
      <c r="F21" s="533">
        <v>51.5</v>
      </c>
      <c r="G21" s="533">
        <v>40</v>
      </c>
      <c r="H21" s="574">
        <f t="shared" si="3"/>
        <v>2.38</v>
      </c>
      <c r="I21" s="134">
        <f t="shared" si="0"/>
        <v>242.76</v>
      </c>
      <c r="J21" s="549">
        <v>102</v>
      </c>
      <c r="K21" s="134">
        <f t="shared" si="6"/>
        <v>19619.403236297199</v>
      </c>
      <c r="L21" s="412">
        <v>7900</v>
      </c>
      <c r="M21" s="471"/>
      <c r="N21" s="277"/>
      <c r="O21" s="472"/>
      <c r="P21" s="495"/>
      <c r="Q21" s="488"/>
      <c r="R21" s="5"/>
    </row>
    <row r="22" spans="1:18" ht="16.5" customHeight="1">
      <c r="A22" s="790">
        <f>IF(B22&lt;&gt;"",A21+1,"")</f>
        <v>17</v>
      </c>
      <c r="B22" s="161" t="s">
        <v>509</v>
      </c>
      <c r="C22" s="474">
        <v>42572</v>
      </c>
      <c r="D22" s="475" t="s">
        <v>706</v>
      </c>
      <c r="E22" s="534">
        <v>49.5</v>
      </c>
      <c r="F22" s="533">
        <v>38.5</v>
      </c>
      <c r="G22" s="533">
        <v>32.5</v>
      </c>
      <c r="H22" s="574">
        <f t="shared" si="3"/>
        <v>1.34</v>
      </c>
      <c r="I22" s="134">
        <f t="shared" si="0"/>
        <v>138.02000000000001</v>
      </c>
      <c r="J22" s="549">
        <v>103</v>
      </c>
      <c r="K22" s="134">
        <f t="shared" ref="K22:K53" si="9">H22*$R$33</f>
        <v>11046.218628839601</v>
      </c>
      <c r="L22" s="412">
        <v>12900</v>
      </c>
      <c r="M22" s="471"/>
      <c r="N22" s="525" t="s">
        <v>378</v>
      </c>
      <c r="O22" s="526"/>
      <c r="P22" s="527"/>
      <c r="Q22" s="346"/>
      <c r="R22" s="346">
        <f>SUM(R15:R21)</f>
        <v>83691600</v>
      </c>
    </row>
    <row r="23" spans="1:18" ht="16.5" customHeight="1">
      <c r="A23" s="790">
        <f t="shared" si="4"/>
        <v>18</v>
      </c>
      <c r="B23" s="161" t="s">
        <v>644</v>
      </c>
      <c r="C23" s="474">
        <v>42573</v>
      </c>
      <c r="D23" s="475" t="s">
        <v>707</v>
      </c>
      <c r="E23" s="534">
        <v>43</v>
      </c>
      <c r="F23" s="533">
        <v>42</v>
      </c>
      <c r="G23" s="533">
        <v>26</v>
      </c>
      <c r="H23" s="574">
        <f t="shared" si="3"/>
        <v>1.24</v>
      </c>
      <c r="I23" s="134">
        <f t="shared" si="0"/>
        <v>310</v>
      </c>
      <c r="J23" s="549">
        <v>250</v>
      </c>
      <c r="K23" s="134">
        <f t="shared" si="9"/>
        <v>10221.873955045599</v>
      </c>
      <c r="L23" s="412">
        <v>12400</v>
      </c>
      <c r="M23" s="471"/>
      <c r="N23" s="277" t="s">
        <v>379</v>
      </c>
      <c r="O23" s="472"/>
      <c r="P23" s="495"/>
      <c r="Q23" s="488"/>
      <c r="R23" s="5">
        <f>R14</f>
        <v>360238000</v>
      </c>
    </row>
    <row r="24" spans="1:18" ht="16.5" customHeight="1">
      <c r="A24" s="790">
        <f t="shared" si="4"/>
        <v>19</v>
      </c>
      <c r="B24" s="161" t="s">
        <v>645</v>
      </c>
      <c r="C24" s="474">
        <v>42573</v>
      </c>
      <c r="D24" s="475" t="s">
        <v>707</v>
      </c>
      <c r="E24" s="534">
        <v>49</v>
      </c>
      <c r="F24" s="533">
        <v>47</v>
      </c>
      <c r="G24" s="533">
        <v>27</v>
      </c>
      <c r="H24" s="574">
        <f t="shared" si="3"/>
        <v>1.52</v>
      </c>
      <c r="I24" s="134">
        <f t="shared" si="0"/>
        <v>304</v>
      </c>
      <c r="J24" s="549">
        <v>200</v>
      </c>
      <c r="K24" s="134">
        <f t="shared" si="9"/>
        <v>12530.039041668799</v>
      </c>
      <c r="L24" s="412">
        <v>14200</v>
      </c>
      <c r="M24" s="471"/>
      <c r="N24" s="277" t="s">
        <v>380</v>
      </c>
      <c r="O24" s="472"/>
      <c r="P24" s="495"/>
      <c r="Q24" s="488"/>
      <c r="R24" s="5">
        <f>R22</f>
        <v>83691600</v>
      </c>
    </row>
    <row r="25" spans="1:18" ht="16.5" customHeight="1">
      <c r="A25" s="790">
        <f t="shared" si="4"/>
        <v>20</v>
      </c>
      <c r="B25" s="161" t="s">
        <v>646</v>
      </c>
      <c r="C25" s="474">
        <v>42573</v>
      </c>
      <c r="D25" s="475" t="s">
        <v>707</v>
      </c>
      <c r="E25" s="534">
        <v>40</v>
      </c>
      <c r="F25" s="533">
        <v>39</v>
      </c>
      <c r="G25" s="533">
        <v>32</v>
      </c>
      <c r="H25" s="574">
        <f t="shared" si="3"/>
        <v>1.21</v>
      </c>
      <c r="I25" s="134">
        <f t="shared" si="0"/>
        <v>363</v>
      </c>
      <c r="J25" s="549">
        <v>300</v>
      </c>
      <c r="K25" s="134">
        <f t="shared" si="9"/>
        <v>9974.5705529073985</v>
      </c>
      <c r="L25" s="412">
        <v>16500</v>
      </c>
      <c r="M25" s="471"/>
      <c r="N25" s="277" t="s">
        <v>382</v>
      </c>
      <c r="O25" s="472"/>
      <c r="P25" s="495"/>
      <c r="Q25" s="488"/>
      <c r="R25" s="5">
        <v>13220000</v>
      </c>
    </row>
    <row r="26" spans="1:18" ht="16.5" customHeight="1">
      <c r="A26" s="790">
        <f t="shared" si="4"/>
        <v>21</v>
      </c>
      <c r="B26" s="161" t="s">
        <v>647</v>
      </c>
      <c r="C26" s="474">
        <v>42573</v>
      </c>
      <c r="D26" s="475" t="s">
        <v>707</v>
      </c>
      <c r="E26" s="534">
        <v>42</v>
      </c>
      <c r="F26" s="533">
        <v>41</v>
      </c>
      <c r="G26" s="533">
        <v>34</v>
      </c>
      <c r="H26" s="574">
        <f t="shared" si="3"/>
        <v>1.33</v>
      </c>
      <c r="I26" s="134">
        <f t="shared" si="0"/>
        <v>399</v>
      </c>
      <c r="J26" s="549">
        <v>300</v>
      </c>
      <c r="K26" s="134">
        <f t="shared" si="9"/>
        <v>10963.7841614602</v>
      </c>
      <c r="L26" s="412">
        <v>24500</v>
      </c>
      <c r="M26" s="471"/>
      <c r="N26" s="277" t="s">
        <v>381</v>
      </c>
      <c r="O26" s="472"/>
      <c r="P26" s="495"/>
      <c r="Q26" s="488"/>
      <c r="R26" s="5">
        <v>13250000</v>
      </c>
    </row>
    <row r="27" spans="1:18" ht="16.5" customHeight="1">
      <c r="A27" s="790">
        <f t="shared" si="4"/>
        <v>22</v>
      </c>
      <c r="B27" s="161" t="s">
        <v>817</v>
      </c>
      <c r="C27" s="474">
        <v>42573</v>
      </c>
      <c r="D27" s="475" t="s">
        <v>707</v>
      </c>
      <c r="E27" s="534">
        <v>63</v>
      </c>
      <c r="F27" s="533">
        <v>53</v>
      </c>
      <c r="G27" s="533">
        <v>32</v>
      </c>
      <c r="H27" s="574">
        <f t="shared" si="3"/>
        <v>2.09</v>
      </c>
      <c r="I27" s="134">
        <f t="shared" si="0"/>
        <v>418</v>
      </c>
      <c r="J27" s="549">
        <v>200</v>
      </c>
      <c r="K27" s="134">
        <f t="shared" si="9"/>
        <v>17228.803682294598</v>
      </c>
      <c r="L27" s="412">
        <v>25500</v>
      </c>
      <c r="M27" s="471"/>
      <c r="N27" s="277" t="s">
        <v>394</v>
      </c>
      <c r="O27" s="472"/>
      <c r="P27" s="495"/>
      <c r="Q27" s="488"/>
      <c r="R27" s="5">
        <v>41880000</v>
      </c>
    </row>
    <row r="28" spans="1:18" ht="16.5" customHeight="1">
      <c r="A28" s="790">
        <f t="shared" si="4"/>
        <v>23</v>
      </c>
      <c r="B28" s="161" t="s">
        <v>653</v>
      </c>
      <c r="C28" s="474">
        <v>42574</v>
      </c>
      <c r="D28" s="475" t="s">
        <v>708</v>
      </c>
      <c r="E28" s="534">
        <v>63</v>
      </c>
      <c r="F28" s="533">
        <v>42</v>
      </c>
      <c r="G28" s="533">
        <v>27</v>
      </c>
      <c r="H28" s="574">
        <f t="shared" si="3"/>
        <v>1.55</v>
      </c>
      <c r="I28" s="134">
        <f t="shared" si="0"/>
        <v>821.5</v>
      </c>
      <c r="J28" s="549">
        <v>530</v>
      </c>
      <c r="K28" s="134">
        <f t="shared" si="9"/>
        <v>12777.342443807</v>
      </c>
      <c r="L28" s="412">
        <v>17800</v>
      </c>
      <c r="M28" s="471"/>
      <c r="N28" s="111"/>
      <c r="O28" s="472"/>
      <c r="P28" s="495"/>
      <c r="Q28" s="488"/>
      <c r="R28" s="5"/>
    </row>
    <row r="29" spans="1:18" ht="16.5" customHeight="1">
      <c r="A29" s="790">
        <f t="shared" si="4"/>
        <v>24</v>
      </c>
      <c r="B29" s="161" t="s">
        <v>498</v>
      </c>
      <c r="C29" s="474">
        <v>42574</v>
      </c>
      <c r="D29" s="475" t="s">
        <v>708</v>
      </c>
      <c r="E29" s="534">
        <v>47</v>
      </c>
      <c r="F29" s="533">
        <v>42</v>
      </c>
      <c r="G29" s="533">
        <v>25</v>
      </c>
      <c r="H29" s="574">
        <f t="shared" si="3"/>
        <v>1.28</v>
      </c>
      <c r="I29" s="134">
        <f t="shared" si="0"/>
        <v>42.24</v>
      </c>
      <c r="J29" s="549">
        <v>33</v>
      </c>
      <c r="K29" s="134">
        <f t="shared" si="9"/>
        <v>10551.611824563199</v>
      </c>
      <c r="L29" s="412">
        <v>9600</v>
      </c>
      <c r="M29" s="471"/>
      <c r="N29" s="277"/>
      <c r="O29" s="472"/>
      <c r="P29" s="495"/>
      <c r="Q29" s="488"/>
      <c r="R29" s="5"/>
    </row>
    <row r="30" spans="1:18" ht="16.5" customHeight="1">
      <c r="A30" s="790">
        <f t="shared" si="4"/>
        <v>25</v>
      </c>
      <c r="B30" s="161" t="s">
        <v>654</v>
      </c>
      <c r="C30" s="474">
        <v>42574</v>
      </c>
      <c r="D30" s="475" t="s">
        <v>708</v>
      </c>
      <c r="E30" s="534">
        <v>58</v>
      </c>
      <c r="F30" s="533">
        <v>31</v>
      </c>
      <c r="G30" s="533">
        <v>40</v>
      </c>
      <c r="H30" s="574">
        <f t="shared" si="3"/>
        <v>1.35</v>
      </c>
      <c r="I30" s="134">
        <f t="shared" si="0"/>
        <v>850.5</v>
      </c>
      <c r="J30" s="549">
        <v>630</v>
      </c>
      <c r="K30" s="134">
        <f t="shared" si="9"/>
        <v>11128.653096218999</v>
      </c>
      <c r="L30" s="412">
        <v>9700</v>
      </c>
      <c r="M30" s="471"/>
      <c r="N30" s="525" t="s">
        <v>391</v>
      </c>
      <c r="O30" s="526"/>
      <c r="P30" s="527"/>
      <c r="Q30" s="346"/>
      <c r="R30" s="346">
        <f>SUM(R23:R29)</f>
        <v>512279600</v>
      </c>
    </row>
    <row r="31" spans="1:18" ht="16.5" customHeight="1">
      <c r="A31" s="790">
        <f t="shared" si="4"/>
        <v>26</v>
      </c>
      <c r="B31" s="161" t="s">
        <v>660</v>
      </c>
      <c r="C31" s="474">
        <v>42574</v>
      </c>
      <c r="D31" s="475" t="s">
        <v>708</v>
      </c>
      <c r="E31" s="534">
        <v>45</v>
      </c>
      <c r="F31" s="533">
        <v>37</v>
      </c>
      <c r="G31" s="533">
        <v>27.5</v>
      </c>
      <c r="H31" s="574">
        <f>IF(G31&lt;&gt;"",ROUND(((E31+F31)*2+5)*(F31+G31+3)/10000,2),ROUND(E31*F31/10000,2))</f>
        <v>1.1399999999999999</v>
      </c>
      <c r="I31" s="134">
        <f t="shared" si="0"/>
        <v>401.28</v>
      </c>
      <c r="J31" s="549">
        <v>352</v>
      </c>
      <c r="K31" s="134">
        <f t="shared" si="9"/>
        <v>9397.5292812515981</v>
      </c>
      <c r="L31" s="412">
        <v>13700</v>
      </c>
      <c r="M31" s="471"/>
      <c r="N31" s="278"/>
      <c r="O31" s="480"/>
      <c r="P31" s="496"/>
      <c r="Q31" s="470"/>
      <c r="R31" s="482"/>
    </row>
    <row r="32" spans="1:18" ht="16.5" customHeight="1">
      <c r="A32" s="790">
        <f t="shared" si="4"/>
        <v>27</v>
      </c>
      <c r="B32" s="161" t="s">
        <v>511</v>
      </c>
      <c r="C32" s="474">
        <v>42574</v>
      </c>
      <c r="D32" s="475" t="s">
        <v>709</v>
      </c>
      <c r="E32" s="534">
        <v>48</v>
      </c>
      <c r="F32" s="533">
        <v>40</v>
      </c>
      <c r="G32" s="533">
        <v>18</v>
      </c>
      <c r="H32" s="574">
        <f t="shared" si="3"/>
        <v>1.1000000000000001</v>
      </c>
      <c r="I32" s="134">
        <f t="shared" si="0"/>
        <v>385.00000000000006</v>
      </c>
      <c r="J32" s="549">
        <v>350</v>
      </c>
      <c r="K32" s="134">
        <f t="shared" si="9"/>
        <v>9067.7914117340006</v>
      </c>
      <c r="L32" s="412">
        <v>13600</v>
      </c>
      <c r="M32" s="471"/>
      <c r="N32" s="278"/>
      <c r="O32" s="480"/>
      <c r="P32" s="496"/>
      <c r="Q32" s="470"/>
      <c r="R32" s="482"/>
    </row>
    <row r="33" spans="1:18" ht="16.5" customHeight="1">
      <c r="A33" s="790">
        <f t="shared" si="4"/>
        <v>28</v>
      </c>
      <c r="B33" s="161" t="s">
        <v>512</v>
      </c>
      <c r="C33" s="474">
        <v>42577</v>
      </c>
      <c r="D33" s="475" t="s">
        <v>710</v>
      </c>
      <c r="E33" s="534">
        <v>39.5</v>
      </c>
      <c r="F33" s="533">
        <v>26.5</v>
      </c>
      <c r="G33" s="533">
        <v>29.5</v>
      </c>
      <c r="H33" s="574">
        <f t="shared" si="3"/>
        <v>0.81</v>
      </c>
      <c r="I33" s="134">
        <f t="shared" si="0"/>
        <v>383.13000000000005</v>
      </c>
      <c r="J33" s="549">
        <v>473</v>
      </c>
      <c r="K33" s="134">
        <f t="shared" si="9"/>
        <v>6677.1918577314</v>
      </c>
      <c r="L33" s="412">
        <v>13000</v>
      </c>
      <c r="M33" s="471"/>
      <c r="N33" s="938" t="s">
        <v>392</v>
      </c>
      <c r="O33" s="939"/>
      <c r="P33" s="939"/>
      <c r="Q33" s="940"/>
      <c r="R33" s="530">
        <f>R30/I126</f>
        <v>8243.4467379399994</v>
      </c>
    </row>
    <row r="34" spans="1:18" ht="16.5" customHeight="1">
      <c r="A34" s="790">
        <f t="shared" si="4"/>
        <v>29</v>
      </c>
      <c r="B34" s="161" t="s">
        <v>513</v>
      </c>
      <c r="C34" s="474">
        <v>42580</v>
      </c>
      <c r="D34" s="475" t="s">
        <v>711</v>
      </c>
      <c r="E34" s="534">
        <v>49</v>
      </c>
      <c r="F34" s="533">
        <v>38</v>
      </c>
      <c r="G34" s="533">
        <v>12</v>
      </c>
      <c r="H34" s="574">
        <f t="shared" si="3"/>
        <v>0.95</v>
      </c>
      <c r="I34" s="134">
        <f t="shared" si="0"/>
        <v>286.89999999999998</v>
      </c>
      <c r="J34" s="549">
        <v>302</v>
      </c>
      <c r="K34" s="134">
        <f t="shared" si="9"/>
        <v>7831.2744010429988</v>
      </c>
      <c r="L34" s="412">
        <v>10500</v>
      </c>
      <c r="M34" s="471"/>
      <c r="N34" s="278"/>
      <c r="O34" s="480"/>
      <c r="P34" s="496"/>
      <c r="Q34" s="470"/>
      <c r="R34" s="482"/>
    </row>
    <row r="35" spans="1:18" ht="16.5" customHeight="1">
      <c r="A35" s="790">
        <f t="shared" si="4"/>
        <v>30</v>
      </c>
      <c r="B35" s="161" t="s">
        <v>514</v>
      </c>
      <c r="C35" s="474">
        <v>42580</v>
      </c>
      <c r="D35" s="475" t="s">
        <v>711</v>
      </c>
      <c r="E35" s="534">
        <v>49</v>
      </c>
      <c r="F35" s="533">
        <v>38</v>
      </c>
      <c r="G35" s="533">
        <v>13</v>
      </c>
      <c r="H35" s="574">
        <f t="shared" si="3"/>
        <v>0.97</v>
      </c>
      <c r="I35" s="134">
        <f t="shared" si="0"/>
        <v>511.19</v>
      </c>
      <c r="J35" s="549">
        <v>527</v>
      </c>
      <c r="K35" s="134">
        <f t="shared" si="9"/>
        <v>7996.1433358017994</v>
      </c>
      <c r="L35" s="412">
        <v>10500</v>
      </c>
      <c r="M35" s="471"/>
      <c r="N35" s="278"/>
      <c r="O35" s="480"/>
      <c r="P35" s="496"/>
      <c r="Q35" s="470"/>
      <c r="R35" s="482"/>
    </row>
    <row r="36" spans="1:18" ht="16.5" customHeight="1">
      <c r="A36" s="790">
        <f t="shared" si="4"/>
        <v>31</v>
      </c>
      <c r="B36" s="161" t="s">
        <v>647</v>
      </c>
      <c r="C36" s="474">
        <v>42580</v>
      </c>
      <c r="D36" s="475" t="s">
        <v>712</v>
      </c>
      <c r="E36" s="534">
        <v>42</v>
      </c>
      <c r="F36" s="533">
        <v>41</v>
      </c>
      <c r="G36" s="533">
        <v>34</v>
      </c>
      <c r="H36" s="574">
        <f t="shared" si="3"/>
        <v>1.33</v>
      </c>
      <c r="I36" s="134">
        <f t="shared" si="0"/>
        <v>133</v>
      </c>
      <c r="J36" s="549">
        <v>100</v>
      </c>
      <c r="K36" s="134">
        <f t="shared" si="9"/>
        <v>10963.7841614602</v>
      </c>
      <c r="L36" s="412">
        <v>19700</v>
      </c>
      <c r="M36" s="471"/>
      <c r="N36" s="278"/>
      <c r="O36" s="480"/>
      <c r="P36" s="496"/>
      <c r="Q36" s="470"/>
      <c r="R36" s="482"/>
    </row>
    <row r="37" spans="1:18" ht="16.5" customHeight="1">
      <c r="A37" s="790">
        <f t="shared" si="4"/>
        <v>32</v>
      </c>
      <c r="B37" s="161" t="s">
        <v>817</v>
      </c>
      <c r="C37" s="474">
        <v>42580</v>
      </c>
      <c r="D37" s="475" t="s">
        <v>712</v>
      </c>
      <c r="E37" s="534">
        <v>63</v>
      </c>
      <c r="F37" s="533">
        <v>53</v>
      </c>
      <c r="G37" s="533">
        <v>32</v>
      </c>
      <c r="H37" s="574">
        <f t="shared" si="3"/>
        <v>2.09</v>
      </c>
      <c r="I37" s="134">
        <f t="shared" si="0"/>
        <v>209</v>
      </c>
      <c r="J37" s="549">
        <v>100</v>
      </c>
      <c r="K37" s="134">
        <f t="shared" si="9"/>
        <v>17228.803682294598</v>
      </c>
      <c r="L37" s="412">
        <v>20100</v>
      </c>
      <c r="M37" s="471"/>
      <c r="N37" s="278"/>
      <c r="O37" s="480"/>
      <c r="P37" s="496"/>
      <c r="Q37" s="470"/>
      <c r="R37" s="482"/>
    </row>
    <row r="38" spans="1:18" ht="16.5" customHeight="1">
      <c r="A38" s="790">
        <f t="shared" si="4"/>
        <v>33</v>
      </c>
      <c r="B38" s="161" t="s">
        <v>508</v>
      </c>
      <c r="C38" s="474">
        <v>42583</v>
      </c>
      <c r="D38" s="475" t="s">
        <v>713</v>
      </c>
      <c r="E38" s="534">
        <v>37.5</v>
      </c>
      <c r="F38" s="533">
        <v>25.5</v>
      </c>
      <c r="G38" s="533">
        <v>23.9</v>
      </c>
      <c r="H38" s="574">
        <f t="shared" si="3"/>
        <v>0.69</v>
      </c>
      <c r="I38" s="134">
        <f t="shared" ref="I38:I69" si="10">H38*J38</f>
        <v>345</v>
      </c>
      <c r="J38" s="549">
        <v>500</v>
      </c>
      <c r="K38" s="134">
        <f t="shared" si="9"/>
        <v>5687.9782491785991</v>
      </c>
      <c r="L38" s="412">
        <v>5900</v>
      </c>
      <c r="M38" s="471"/>
      <c r="N38" s="278"/>
      <c r="O38" s="480"/>
      <c r="P38" s="496"/>
      <c r="Q38" s="470"/>
      <c r="R38" s="482"/>
    </row>
    <row r="39" spans="1:18" ht="16.5" customHeight="1">
      <c r="A39" s="790">
        <f t="shared" si="4"/>
        <v>34</v>
      </c>
      <c r="B39" s="161" t="s">
        <v>515</v>
      </c>
      <c r="C39" s="474">
        <v>42584</v>
      </c>
      <c r="D39" s="475" t="s">
        <v>714</v>
      </c>
      <c r="E39" s="534">
        <v>42</v>
      </c>
      <c r="F39" s="533">
        <v>24</v>
      </c>
      <c r="G39" s="533">
        <v>25</v>
      </c>
      <c r="H39" s="574">
        <f t="shared" si="3"/>
        <v>0.71</v>
      </c>
      <c r="I39" s="134">
        <f t="shared" si="10"/>
        <v>430.26</v>
      </c>
      <c r="J39" s="549">
        <v>606</v>
      </c>
      <c r="K39" s="134">
        <f t="shared" si="9"/>
        <v>5852.8471839373997</v>
      </c>
      <c r="L39" s="412">
        <v>6000</v>
      </c>
      <c r="M39" s="471"/>
      <c r="N39" s="278"/>
      <c r="O39" s="480"/>
      <c r="P39" s="496"/>
      <c r="Q39" s="470"/>
      <c r="R39" s="482"/>
    </row>
    <row r="40" spans="1:18" ht="16.5" customHeight="1">
      <c r="A40" s="790">
        <f t="shared" si="4"/>
        <v>35</v>
      </c>
      <c r="B40" s="161" t="s">
        <v>516</v>
      </c>
      <c r="C40" s="474">
        <v>42584</v>
      </c>
      <c r="D40" s="475" t="s">
        <v>714</v>
      </c>
      <c r="E40" s="534">
        <v>50</v>
      </c>
      <c r="F40" s="533">
        <v>37</v>
      </c>
      <c r="G40" s="533">
        <v>21</v>
      </c>
      <c r="H40" s="574">
        <f t="shared" si="3"/>
        <v>1.0900000000000001</v>
      </c>
      <c r="I40" s="134">
        <f t="shared" si="10"/>
        <v>440.36</v>
      </c>
      <c r="J40" s="549">
        <v>404</v>
      </c>
      <c r="K40" s="134">
        <f t="shared" si="9"/>
        <v>8985.3569443546003</v>
      </c>
      <c r="L40" s="412">
        <v>8600</v>
      </c>
      <c r="M40" s="471"/>
      <c r="N40" s="278"/>
      <c r="O40" s="480"/>
      <c r="P40" s="496"/>
      <c r="Q40" s="470"/>
      <c r="R40" s="482"/>
    </row>
    <row r="41" spans="1:18" ht="16.5" customHeight="1">
      <c r="A41" s="790">
        <f t="shared" si="4"/>
        <v>36</v>
      </c>
      <c r="B41" s="161" t="s">
        <v>517</v>
      </c>
      <c r="C41" s="474">
        <v>42584</v>
      </c>
      <c r="D41" s="475" t="s">
        <v>714</v>
      </c>
      <c r="E41" s="534">
        <v>45</v>
      </c>
      <c r="F41" s="533">
        <v>33</v>
      </c>
      <c r="G41" s="533">
        <v>46</v>
      </c>
      <c r="H41" s="574">
        <f t="shared" si="3"/>
        <v>1.32</v>
      </c>
      <c r="I41" s="134">
        <f t="shared" si="10"/>
        <v>401.28000000000003</v>
      </c>
      <c r="J41" s="549">
        <v>304</v>
      </c>
      <c r="K41" s="134">
        <f t="shared" si="9"/>
        <v>10881.3496940808</v>
      </c>
      <c r="L41" s="412">
        <v>14200</v>
      </c>
      <c r="M41" s="471"/>
      <c r="N41" s="278"/>
      <c r="O41" s="480"/>
      <c r="P41" s="496"/>
      <c r="Q41" s="470"/>
      <c r="R41" s="482"/>
    </row>
    <row r="42" spans="1:18" ht="17.25" customHeight="1">
      <c r="A42" s="790">
        <f t="shared" si="4"/>
        <v>37</v>
      </c>
      <c r="B42" s="161" t="s">
        <v>518</v>
      </c>
      <c r="C42" s="474">
        <v>42584</v>
      </c>
      <c r="D42" s="475" t="s">
        <v>715</v>
      </c>
      <c r="E42" s="534">
        <v>52</v>
      </c>
      <c r="F42" s="533">
        <v>24.5</v>
      </c>
      <c r="G42" s="533">
        <v>24.5</v>
      </c>
      <c r="H42" s="574">
        <f t="shared" si="3"/>
        <v>0.82</v>
      </c>
      <c r="I42" s="134">
        <f t="shared" si="10"/>
        <v>1094.7</v>
      </c>
      <c r="J42" s="549">
        <v>1335</v>
      </c>
      <c r="K42" s="134">
        <f t="shared" si="9"/>
        <v>6759.6263251107994</v>
      </c>
      <c r="L42" s="412">
        <v>5000</v>
      </c>
      <c r="M42" s="471"/>
      <c r="N42" s="278"/>
      <c r="O42" s="480"/>
      <c r="P42" s="496"/>
      <c r="Q42" s="470"/>
      <c r="R42" s="482"/>
    </row>
    <row r="43" spans="1:18" ht="17.25" customHeight="1">
      <c r="A43" s="790">
        <f t="shared" si="4"/>
        <v>38</v>
      </c>
      <c r="B43" s="161" t="s">
        <v>519</v>
      </c>
      <c r="C43" s="474">
        <v>42584</v>
      </c>
      <c r="D43" s="475" t="s">
        <v>715</v>
      </c>
      <c r="E43" s="534">
        <v>22.5</v>
      </c>
      <c r="F43" s="533">
        <v>22.5</v>
      </c>
      <c r="G43" s="533">
        <v>52</v>
      </c>
      <c r="H43" s="574">
        <f t="shared" si="3"/>
        <v>0.74</v>
      </c>
      <c r="I43" s="134">
        <f t="shared" si="10"/>
        <v>223.48</v>
      </c>
      <c r="J43" s="549">
        <v>302</v>
      </c>
      <c r="K43" s="134">
        <f t="shared" si="9"/>
        <v>6100.1505860755997</v>
      </c>
      <c r="L43" s="412">
        <v>5100</v>
      </c>
      <c r="M43" s="471"/>
      <c r="N43" s="278"/>
      <c r="O43" s="480"/>
      <c r="P43" s="496"/>
      <c r="Q43" s="470"/>
      <c r="R43" s="482"/>
    </row>
    <row r="44" spans="1:18" ht="17.25" customHeight="1">
      <c r="A44" s="790">
        <f t="shared" si="4"/>
        <v>39</v>
      </c>
      <c r="B44" s="161" t="s">
        <v>520</v>
      </c>
      <c r="C44" s="474">
        <v>42584</v>
      </c>
      <c r="D44" s="475" t="s">
        <v>715</v>
      </c>
      <c r="E44" s="534">
        <v>55</v>
      </c>
      <c r="F44" s="533">
        <v>45</v>
      </c>
      <c r="G44" s="533">
        <v>29</v>
      </c>
      <c r="H44" s="574">
        <f t="shared" si="3"/>
        <v>1.58</v>
      </c>
      <c r="I44" s="134">
        <f t="shared" si="10"/>
        <v>663.6</v>
      </c>
      <c r="J44" s="549">
        <v>420</v>
      </c>
      <c r="K44" s="134">
        <f t="shared" si="9"/>
        <v>13024.645845945199</v>
      </c>
      <c r="L44" s="412">
        <v>9700</v>
      </c>
      <c r="M44" s="471"/>
      <c r="N44" s="455"/>
      <c r="O44" s="455"/>
      <c r="P44" s="455"/>
      <c r="Q44" s="455"/>
      <c r="R44" s="455"/>
    </row>
    <row r="45" spans="1:18" ht="17.25" customHeight="1">
      <c r="A45" s="790">
        <f t="shared" si="4"/>
        <v>40</v>
      </c>
      <c r="B45" s="161" t="s">
        <v>521</v>
      </c>
      <c r="C45" s="474">
        <v>42585</v>
      </c>
      <c r="D45" s="475" t="s">
        <v>716</v>
      </c>
      <c r="E45" s="534">
        <v>49</v>
      </c>
      <c r="F45" s="533">
        <v>38</v>
      </c>
      <c r="G45" s="533">
        <v>12.5</v>
      </c>
      <c r="H45" s="574">
        <f t="shared" si="3"/>
        <v>0.96</v>
      </c>
      <c r="I45" s="134">
        <f t="shared" si="10"/>
        <v>409.91999999999996</v>
      </c>
      <c r="J45" s="549">
        <v>427</v>
      </c>
      <c r="K45" s="134">
        <f t="shared" si="9"/>
        <v>7913.7088684223991</v>
      </c>
      <c r="L45" s="412">
        <v>10200</v>
      </c>
      <c r="M45" s="471"/>
      <c r="N45" s="455"/>
      <c r="O45" s="455"/>
      <c r="P45" s="455"/>
      <c r="Q45" s="455"/>
      <c r="R45" s="455"/>
    </row>
    <row r="46" spans="1:18" ht="17.25" customHeight="1">
      <c r="A46" s="790">
        <f t="shared" si="4"/>
        <v>41</v>
      </c>
      <c r="B46" s="161" t="s">
        <v>536</v>
      </c>
      <c r="C46" s="474">
        <v>42588</v>
      </c>
      <c r="D46" s="475" t="s">
        <v>717</v>
      </c>
      <c r="E46" s="534">
        <v>43</v>
      </c>
      <c r="F46" s="533">
        <v>27.5</v>
      </c>
      <c r="G46" s="533">
        <v>23</v>
      </c>
      <c r="H46" s="574">
        <f t="shared" si="3"/>
        <v>0.78</v>
      </c>
      <c r="I46" s="134">
        <f t="shared" si="10"/>
        <v>84.240000000000009</v>
      </c>
      <c r="J46" s="549">
        <v>108</v>
      </c>
      <c r="K46" s="134">
        <f t="shared" si="9"/>
        <v>6429.8884555932</v>
      </c>
      <c r="L46" s="412">
        <v>6400</v>
      </c>
      <c r="M46" s="471"/>
      <c r="N46" s="455"/>
      <c r="O46" s="455"/>
      <c r="P46" s="455"/>
      <c r="Q46" s="455"/>
      <c r="R46" s="455"/>
    </row>
    <row r="47" spans="1:18" ht="17.25" customHeight="1">
      <c r="A47" s="790">
        <f t="shared" si="4"/>
        <v>42</v>
      </c>
      <c r="B47" s="161" t="s">
        <v>662</v>
      </c>
      <c r="C47" s="474">
        <v>42588</v>
      </c>
      <c r="D47" s="475" t="s">
        <v>717</v>
      </c>
      <c r="E47" s="534">
        <v>39.5</v>
      </c>
      <c r="F47" s="533">
        <v>32.299999999999997</v>
      </c>
      <c r="G47" s="533">
        <v>27.7</v>
      </c>
      <c r="H47" s="574">
        <f t="shared" si="3"/>
        <v>0.94</v>
      </c>
      <c r="I47" s="134">
        <f t="shared" si="10"/>
        <v>96.82</v>
      </c>
      <c r="J47" s="549">
        <v>103</v>
      </c>
      <c r="K47" s="134">
        <f t="shared" si="9"/>
        <v>7748.8399336635994</v>
      </c>
      <c r="L47" s="412">
        <v>9400</v>
      </c>
      <c r="M47" s="471"/>
      <c r="N47" s="455"/>
      <c r="O47" s="455"/>
      <c r="P47" s="455"/>
      <c r="Q47" s="455"/>
      <c r="R47" s="455"/>
    </row>
    <row r="48" spans="1:18" ht="17.25" customHeight="1">
      <c r="A48" s="790">
        <f t="shared" si="4"/>
        <v>43</v>
      </c>
      <c r="B48" s="161" t="s">
        <v>522</v>
      </c>
      <c r="C48" s="474">
        <v>42591</v>
      </c>
      <c r="D48" s="475" t="s">
        <v>718</v>
      </c>
      <c r="E48" s="534">
        <v>36.5</v>
      </c>
      <c r="F48" s="533">
        <v>26.5</v>
      </c>
      <c r="G48" s="533">
        <v>26</v>
      </c>
      <c r="H48" s="574">
        <f t="shared" si="3"/>
        <v>0.73</v>
      </c>
      <c r="I48" s="134">
        <f t="shared" si="10"/>
        <v>357.7</v>
      </c>
      <c r="J48" s="549">
        <v>490</v>
      </c>
      <c r="K48" s="134">
        <f t="shared" si="9"/>
        <v>6017.7161186961994</v>
      </c>
      <c r="L48" s="412">
        <v>11000</v>
      </c>
      <c r="M48" s="471"/>
      <c r="N48" s="455"/>
      <c r="O48" s="455"/>
      <c r="P48" s="455"/>
      <c r="Q48" s="455"/>
      <c r="R48" s="455"/>
    </row>
    <row r="49" spans="1:18" ht="17.25" customHeight="1">
      <c r="A49" s="790">
        <f t="shared" si="4"/>
        <v>44</v>
      </c>
      <c r="B49" s="161" t="s">
        <v>524</v>
      </c>
      <c r="C49" s="474">
        <v>42592</v>
      </c>
      <c r="D49" s="475" t="s">
        <v>719</v>
      </c>
      <c r="E49" s="534">
        <v>62</v>
      </c>
      <c r="F49" s="533">
        <v>42.5</v>
      </c>
      <c r="G49" s="533">
        <v>42.5</v>
      </c>
      <c r="H49" s="574">
        <f t="shared" si="3"/>
        <v>1.88</v>
      </c>
      <c r="I49" s="134">
        <f t="shared" si="10"/>
        <v>757.64</v>
      </c>
      <c r="J49" s="549">
        <v>403</v>
      </c>
      <c r="K49" s="134">
        <f t="shared" si="9"/>
        <v>15497.679867327199</v>
      </c>
      <c r="L49" s="412">
        <v>20000</v>
      </c>
      <c r="M49" s="471"/>
      <c r="N49" s="455"/>
      <c r="O49" s="455"/>
      <c r="P49" s="455"/>
      <c r="Q49" s="455"/>
      <c r="R49" s="455"/>
    </row>
    <row r="50" spans="1:18" ht="17.25" customHeight="1">
      <c r="A50" s="790">
        <f t="shared" si="4"/>
        <v>45</v>
      </c>
      <c r="B50" s="161" t="s">
        <v>645</v>
      </c>
      <c r="C50" s="474">
        <v>42592</v>
      </c>
      <c r="D50" s="475" t="s">
        <v>720</v>
      </c>
      <c r="E50" s="534">
        <v>49</v>
      </c>
      <c r="F50" s="533">
        <v>47</v>
      </c>
      <c r="G50" s="533">
        <v>27</v>
      </c>
      <c r="H50" s="574">
        <f t="shared" si="3"/>
        <v>1.52</v>
      </c>
      <c r="I50" s="134">
        <f t="shared" si="10"/>
        <v>45.6</v>
      </c>
      <c r="J50" s="549">
        <v>30</v>
      </c>
      <c r="K50" s="134">
        <f t="shared" si="9"/>
        <v>12530.039041668799</v>
      </c>
      <c r="L50" s="412">
        <v>14200</v>
      </c>
      <c r="M50" s="471"/>
      <c r="N50" s="455"/>
      <c r="O50" s="455"/>
      <c r="P50" s="455"/>
      <c r="Q50" s="455"/>
      <c r="R50" s="455"/>
    </row>
    <row r="51" spans="1:18" ht="17.25" customHeight="1">
      <c r="A51" s="790">
        <f t="shared" si="4"/>
        <v>46</v>
      </c>
      <c r="B51" s="161" t="s">
        <v>648</v>
      </c>
      <c r="C51" s="474">
        <v>42592</v>
      </c>
      <c r="D51" s="475" t="s">
        <v>720</v>
      </c>
      <c r="E51" s="534">
        <v>38</v>
      </c>
      <c r="F51" s="533">
        <v>37</v>
      </c>
      <c r="G51" s="533">
        <v>30</v>
      </c>
      <c r="H51" s="574">
        <f t="shared" si="3"/>
        <v>1.0900000000000001</v>
      </c>
      <c r="I51" s="134">
        <f t="shared" si="10"/>
        <v>32.700000000000003</v>
      </c>
      <c r="J51" s="549">
        <v>30</v>
      </c>
      <c r="K51" s="134">
        <f t="shared" si="9"/>
        <v>8985.3569443546003</v>
      </c>
      <c r="L51" s="412">
        <v>15300</v>
      </c>
      <c r="M51" s="471"/>
      <c r="N51" s="455"/>
      <c r="O51" s="455"/>
      <c r="P51" s="455"/>
      <c r="Q51" s="455"/>
      <c r="R51" s="455"/>
    </row>
    <row r="52" spans="1:18" ht="17.25" customHeight="1">
      <c r="A52" s="790">
        <f t="shared" si="4"/>
        <v>47</v>
      </c>
      <c r="B52" s="161" t="s">
        <v>646</v>
      </c>
      <c r="C52" s="474">
        <v>42592</v>
      </c>
      <c r="D52" s="475" t="s">
        <v>720</v>
      </c>
      <c r="E52" s="534">
        <v>40</v>
      </c>
      <c r="F52" s="533">
        <v>39</v>
      </c>
      <c r="G52" s="533">
        <v>32</v>
      </c>
      <c r="H52" s="574">
        <f t="shared" si="3"/>
        <v>1.21</v>
      </c>
      <c r="I52" s="134">
        <f t="shared" si="10"/>
        <v>36.299999999999997</v>
      </c>
      <c r="J52" s="549">
        <v>30</v>
      </c>
      <c r="K52" s="134">
        <f t="shared" si="9"/>
        <v>9974.5705529073985</v>
      </c>
      <c r="L52" s="412">
        <v>16500</v>
      </c>
      <c r="M52" s="471"/>
      <c r="N52" s="455"/>
      <c r="O52" s="455"/>
      <c r="P52" s="455"/>
      <c r="Q52" s="455"/>
      <c r="R52" s="455"/>
    </row>
    <row r="53" spans="1:18" ht="17.25" customHeight="1">
      <c r="A53" s="790">
        <f t="shared" si="4"/>
        <v>48</v>
      </c>
      <c r="B53" s="161" t="s">
        <v>647</v>
      </c>
      <c r="C53" s="474">
        <v>42592</v>
      </c>
      <c r="D53" s="475" t="s">
        <v>720</v>
      </c>
      <c r="E53" s="534">
        <v>42</v>
      </c>
      <c r="F53" s="533">
        <v>41</v>
      </c>
      <c r="G53" s="533">
        <v>34</v>
      </c>
      <c r="H53" s="574">
        <f t="shared" si="3"/>
        <v>1.33</v>
      </c>
      <c r="I53" s="134">
        <f t="shared" si="10"/>
        <v>133</v>
      </c>
      <c r="J53" s="549">
        <v>100</v>
      </c>
      <c r="K53" s="134">
        <f t="shared" si="9"/>
        <v>10963.7841614602</v>
      </c>
      <c r="L53" s="412">
        <v>19700</v>
      </c>
      <c r="M53" s="471"/>
      <c r="N53" s="455"/>
      <c r="O53" s="455"/>
      <c r="P53" s="455"/>
      <c r="Q53" s="455"/>
      <c r="R53" s="455"/>
    </row>
    <row r="54" spans="1:18" ht="17.25" customHeight="1">
      <c r="A54" s="790">
        <f t="shared" si="4"/>
        <v>49</v>
      </c>
      <c r="B54" s="161" t="s">
        <v>817</v>
      </c>
      <c r="C54" s="474">
        <v>42592</v>
      </c>
      <c r="D54" s="475" t="s">
        <v>720</v>
      </c>
      <c r="E54" s="534">
        <v>63</v>
      </c>
      <c r="F54" s="533">
        <v>53</v>
      </c>
      <c r="G54" s="533">
        <v>32</v>
      </c>
      <c r="H54" s="574">
        <f t="shared" si="3"/>
        <v>2.09</v>
      </c>
      <c r="I54" s="134">
        <f t="shared" si="10"/>
        <v>125.39999999999999</v>
      </c>
      <c r="J54" s="549">
        <v>60</v>
      </c>
      <c r="K54" s="134">
        <f t="shared" ref="K54:K85" si="11">H54*$R$33</f>
        <v>17228.803682294598</v>
      </c>
      <c r="L54" s="412">
        <v>20100</v>
      </c>
      <c r="M54" s="471"/>
      <c r="N54" s="455"/>
      <c r="O54" s="455"/>
      <c r="P54" s="455"/>
      <c r="Q54" s="455"/>
      <c r="R54" s="455"/>
    </row>
    <row r="55" spans="1:18" ht="17.25" customHeight="1">
      <c r="A55" s="790">
        <f t="shared" si="4"/>
        <v>50</v>
      </c>
      <c r="B55" s="161" t="s">
        <v>524</v>
      </c>
      <c r="C55" s="474">
        <v>42592</v>
      </c>
      <c r="D55" s="475" t="s">
        <v>721</v>
      </c>
      <c r="E55" s="534">
        <v>62</v>
      </c>
      <c r="F55" s="533">
        <v>42.5</v>
      </c>
      <c r="G55" s="533">
        <v>42.5</v>
      </c>
      <c r="H55" s="574">
        <f t="shared" si="3"/>
        <v>1.88</v>
      </c>
      <c r="I55" s="134">
        <f t="shared" si="10"/>
        <v>757.64</v>
      </c>
      <c r="J55" s="549">
        <v>403</v>
      </c>
      <c r="K55" s="134">
        <f t="shared" si="11"/>
        <v>15497.679867327199</v>
      </c>
      <c r="L55" s="412">
        <v>20000</v>
      </c>
      <c r="M55" s="471"/>
      <c r="N55" s="455"/>
      <c r="O55" s="455"/>
      <c r="P55" s="455"/>
      <c r="Q55" s="455"/>
      <c r="R55" s="455"/>
    </row>
    <row r="56" spans="1:18" ht="17.25" customHeight="1">
      <c r="A56" s="790">
        <f t="shared" si="4"/>
        <v>51</v>
      </c>
      <c r="B56" s="161" t="s">
        <v>655</v>
      </c>
      <c r="C56" s="474">
        <v>42594</v>
      </c>
      <c r="D56" s="475" t="s">
        <v>722</v>
      </c>
      <c r="E56" s="534">
        <v>47</v>
      </c>
      <c r="F56" s="533">
        <v>42</v>
      </c>
      <c r="G56" s="533">
        <v>24.5</v>
      </c>
      <c r="H56" s="574">
        <f t="shared" si="3"/>
        <v>1.27</v>
      </c>
      <c r="I56" s="134">
        <f t="shared" si="10"/>
        <v>1689.1000000000001</v>
      </c>
      <c r="J56" s="549">
        <v>1330</v>
      </c>
      <c r="K56" s="134">
        <f t="shared" si="11"/>
        <v>10469.177357183798</v>
      </c>
      <c r="L56" s="412">
        <v>9360</v>
      </c>
      <c r="M56" s="471"/>
      <c r="N56" s="455"/>
      <c r="O56" s="455"/>
      <c r="P56" s="455"/>
      <c r="Q56" s="455"/>
      <c r="R56" s="455"/>
    </row>
    <row r="57" spans="1:18" ht="17.25" customHeight="1">
      <c r="A57" s="790">
        <f t="shared" si="4"/>
        <v>52</v>
      </c>
      <c r="B57" s="161" t="s">
        <v>655</v>
      </c>
      <c r="C57" s="474">
        <v>42594</v>
      </c>
      <c r="D57" s="475" t="s">
        <v>722</v>
      </c>
      <c r="E57" s="534">
        <v>47</v>
      </c>
      <c r="F57" s="533">
        <v>42</v>
      </c>
      <c r="G57" s="533">
        <v>24.5</v>
      </c>
      <c r="H57" s="574">
        <f t="shared" si="3"/>
        <v>1.27</v>
      </c>
      <c r="I57" s="134">
        <f t="shared" si="10"/>
        <v>101.6</v>
      </c>
      <c r="J57" s="549">
        <v>80</v>
      </c>
      <c r="K57" s="134">
        <f t="shared" si="11"/>
        <v>10469.177357183798</v>
      </c>
      <c r="L57" s="412">
        <v>9200</v>
      </c>
      <c r="M57" s="471"/>
      <c r="N57" s="455"/>
      <c r="O57" s="455"/>
      <c r="P57" s="455"/>
      <c r="Q57" s="455"/>
      <c r="R57" s="455"/>
    </row>
    <row r="58" spans="1:18" ht="17.25" customHeight="1">
      <c r="A58" s="790">
        <f t="shared" si="4"/>
        <v>53</v>
      </c>
      <c r="B58" s="161" t="s">
        <v>656</v>
      </c>
      <c r="C58" s="474">
        <v>42594</v>
      </c>
      <c r="D58" s="475" t="s">
        <v>722</v>
      </c>
      <c r="E58" s="534">
        <v>46</v>
      </c>
      <c r="F58" s="533">
        <v>42</v>
      </c>
      <c r="G58" s="533">
        <v>26</v>
      </c>
      <c r="H58" s="574">
        <f t="shared" si="3"/>
        <v>1.29</v>
      </c>
      <c r="I58" s="134">
        <f t="shared" si="10"/>
        <v>45.15</v>
      </c>
      <c r="J58" s="549">
        <v>35</v>
      </c>
      <c r="K58" s="134">
        <f t="shared" si="11"/>
        <v>10634.046291942599</v>
      </c>
      <c r="L58" s="412">
        <v>9300</v>
      </c>
      <c r="M58" s="471"/>
      <c r="N58" s="455"/>
      <c r="O58" s="455"/>
      <c r="P58" s="455"/>
      <c r="Q58" s="455"/>
      <c r="R58" s="455"/>
    </row>
    <row r="59" spans="1:18" ht="17.25" customHeight="1">
      <c r="A59" s="790">
        <f t="shared" si="4"/>
        <v>54</v>
      </c>
      <c r="B59" s="161" t="s">
        <v>657</v>
      </c>
      <c r="C59" s="474">
        <v>42594</v>
      </c>
      <c r="D59" s="475" t="s">
        <v>722</v>
      </c>
      <c r="E59" s="534">
        <v>47</v>
      </c>
      <c r="F59" s="533">
        <v>42</v>
      </c>
      <c r="G59" s="533">
        <v>13</v>
      </c>
      <c r="H59" s="574">
        <f t="shared" si="3"/>
        <v>1.06</v>
      </c>
      <c r="I59" s="134">
        <f t="shared" si="10"/>
        <v>95.4</v>
      </c>
      <c r="J59" s="549">
        <v>90</v>
      </c>
      <c r="K59" s="134">
        <f t="shared" si="11"/>
        <v>8738.0535422163994</v>
      </c>
      <c r="L59" s="412">
        <v>7500</v>
      </c>
      <c r="M59" s="471"/>
      <c r="N59" s="455"/>
      <c r="O59" s="455"/>
      <c r="P59" s="455"/>
      <c r="Q59" s="455"/>
      <c r="R59" s="455"/>
    </row>
    <row r="60" spans="1:18" ht="17.25" customHeight="1">
      <c r="A60" s="790">
        <f t="shared" si="4"/>
        <v>55</v>
      </c>
      <c r="B60" s="161" t="s">
        <v>658</v>
      </c>
      <c r="C60" s="474">
        <v>42594</v>
      </c>
      <c r="D60" s="475" t="s">
        <v>722</v>
      </c>
      <c r="E60" s="534">
        <v>39</v>
      </c>
      <c r="F60" s="533">
        <v>29</v>
      </c>
      <c r="G60" s="533">
        <v>27</v>
      </c>
      <c r="H60" s="574">
        <f t="shared" si="3"/>
        <v>0.83</v>
      </c>
      <c r="I60" s="134">
        <f t="shared" si="10"/>
        <v>539.5</v>
      </c>
      <c r="J60" s="549">
        <v>650</v>
      </c>
      <c r="K60" s="134">
        <f t="shared" si="11"/>
        <v>6842.0607924901988</v>
      </c>
      <c r="L60" s="412">
        <v>6200</v>
      </c>
      <c r="M60" s="471"/>
      <c r="N60" s="455"/>
      <c r="O60" s="455"/>
      <c r="P60" s="455"/>
      <c r="Q60" s="455"/>
      <c r="R60" s="455"/>
    </row>
    <row r="61" spans="1:18" ht="17.25" customHeight="1">
      <c r="A61" s="790">
        <f t="shared" si="4"/>
        <v>56</v>
      </c>
      <c r="B61" s="161" t="s">
        <v>659</v>
      </c>
      <c r="C61" s="474">
        <v>42594</v>
      </c>
      <c r="D61" s="475" t="s">
        <v>722</v>
      </c>
      <c r="E61" s="534">
        <v>47</v>
      </c>
      <c r="F61" s="533">
        <v>42</v>
      </c>
      <c r="G61" s="533">
        <v>27</v>
      </c>
      <c r="H61" s="574">
        <f t="shared" si="3"/>
        <v>1.32</v>
      </c>
      <c r="I61" s="134">
        <f t="shared" si="10"/>
        <v>277.2</v>
      </c>
      <c r="J61" s="549">
        <v>210</v>
      </c>
      <c r="K61" s="134">
        <f t="shared" si="11"/>
        <v>10881.3496940808</v>
      </c>
      <c r="L61" s="412">
        <v>9500</v>
      </c>
      <c r="M61" s="471"/>
      <c r="N61" s="455"/>
      <c r="O61" s="455"/>
      <c r="P61" s="455"/>
      <c r="Q61" s="455"/>
      <c r="R61" s="455"/>
    </row>
    <row r="62" spans="1:18" ht="17.25" customHeight="1">
      <c r="A62" s="790">
        <f t="shared" si="4"/>
        <v>57</v>
      </c>
      <c r="B62" s="161" t="s">
        <v>525</v>
      </c>
      <c r="C62" s="474">
        <v>42597</v>
      </c>
      <c r="D62" s="475" t="s">
        <v>723</v>
      </c>
      <c r="E62" s="534">
        <v>52</v>
      </c>
      <c r="F62" s="533">
        <v>24</v>
      </c>
      <c r="G62" s="533">
        <v>24</v>
      </c>
      <c r="H62" s="574">
        <f t="shared" si="3"/>
        <v>0.8</v>
      </c>
      <c r="I62" s="134">
        <f t="shared" si="10"/>
        <v>343.20000000000005</v>
      </c>
      <c r="J62" s="549">
        <v>429</v>
      </c>
      <c r="K62" s="134">
        <f t="shared" si="11"/>
        <v>6594.7573903519997</v>
      </c>
      <c r="L62" s="412">
        <v>6000</v>
      </c>
      <c r="M62" s="471"/>
      <c r="N62" s="455"/>
      <c r="O62" s="455"/>
      <c r="P62" s="455"/>
      <c r="Q62" s="455"/>
      <c r="R62" s="455"/>
    </row>
    <row r="63" spans="1:18" ht="17.25" customHeight="1">
      <c r="A63" s="790">
        <f t="shared" si="4"/>
        <v>58</v>
      </c>
      <c r="B63" s="161" t="s">
        <v>526</v>
      </c>
      <c r="C63" s="474">
        <v>42597</v>
      </c>
      <c r="D63" s="475" t="s">
        <v>723</v>
      </c>
      <c r="E63" s="534">
        <v>52</v>
      </c>
      <c r="F63" s="533">
        <v>27</v>
      </c>
      <c r="G63" s="533">
        <v>27</v>
      </c>
      <c r="H63" s="574">
        <f t="shared" si="3"/>
        <v>0.93</v>
      </c>
      <c r="I63" s="134">
        <f t="shared" si="10"/>
        <v>344.1</v>
      </c>
      <c r="J63" s="549">
        <v>370</v>
      </c>
      <c r="K63" s="134">
        <f t="shared" si="11"/>
        <v>7666.4054662842</v>
      </c>
      <c r="L63" s="412">
        <v>6600</v>
      </c>
      <c r="M63" s="471"/>
      <c r="N63" s="455"/>
      <c r="O63" s="455"/>
      <c r="P63" s="455"/>
      <c r="Q63" s="455"/>
      <c r="R63" s="455"/>
    </row>
    <row r="64" spans="1:18" ht="17.25" customHeight="1">
      <c r="A64" s="790">
        <f t="shared" si="4"/>
        <v>59</v>
      </c>
      <c r="B64" s="161" t="s">
        <v>527</v>
      </c>
      <c r="C64" s="474">
        <v>42597</v>
      </c>
      <c r="D64" s="475" t="s">
        <v>724</v>
      </c>
      <c r="E64" s="534">
        <v>103</v>
      </c>
      <c r="F64" s="533">
        <v>50</v>
      </c>
      <c r="G64" s="533">
        <v>180</v>
      </c>
      <c r="H64" s="574">
        <f t="shared" si="3"/>
        <v>7.25</v>
      </c>
      <c r="I64" s="134">
        <f t="shared" si="10"/>
        <v>942.5</v>
      </c>
      <c r="J64" s="549">
        <v>130</v>
      </c>
      <c r="K64" s="134">
        <f t="shared" si="11"/>
        <v>59764.988850064998</v>
      </c>
      <c r="L64" s="412">
        <v>47449</v>
      </c>
      <c r="M64" s="471"/>
      <c r="N64" s="455"/>
      <c r="O64" s="455"/>
      <c r="P64" s="455"/>
      <c r="Q64" s="455"/>
      <c r="R64" s="455"/>
    </row>
    <row r="65" spans="1:18" ht="17.25" customHeight="1">
      <c r="A65" s="790">
        <f t="shared" si="4"/>
        <v>60</v>
      </c>
      <c r="B65" s="161" t="s">
        <v>528</v>
      </c>
      <c r="C65" s="474">
        <v>42599</v>
      </c>
      <c r="D65" s="475" t="s">
        <v>725</v>
      </c>
      <c r="E65" s="534">
        <v>40</v>
      </c>
      <c r="F65" s="533">
        <v>29.5</v>
      </c>
      <c r="G65" s="533">
        <v>19</v>
      </c>
      <c r="H65" s="574">
        <f t="shared" si="3"/>
        <v>0.74</v>
      </c>
      <c r="I65" s="134">
        <f t="shared" si="10"/>
        <v>228.66</v>
      </c>
      <c r="J65" s="549">
        <v>309</v>
      </c>
      <c r="K65" s="134">
        <f t="shared" si="11"/>
        <v>6100.1505860755997</v>
      </c>
      <c r="L65" s="412">
        <v>7500</v>
      </c>
      <c r="M65" s="471"/>
      <c r="N65" s="455"/>
      <c r="O65" s="455"/>
      <c r="P65" s="455"/>
      <c r="Q65" s="455"/>
      <c r="R65" s="455"/>
    </row>
    <row r="66" spans="1:18" ht="17.25" customHeight="1">
      <c r="A66" s="790">
        <f t="shared" si="4"/>
        <v>61</v>
      </c>
      <c r="B66" s="161" t="s">
        <v>529</v>
      </c>
      <c r="C66" s="474">
        <v>42599</v>
      </c>
      <c r="D66" s="475" t="s">
        <v>726</v>
      </c>
      <c r="E66" s="534">
        <v>40</v>
      </c>
      <c r="F66" s="533">
        <v>25.5</v>
      </c>
      <c r="G66" s="533">
        <v>72</v>
      </c>
      <c r="H66" s="574">
        <f t="shared" si="3"/>
        <v>1.37</v>
      </c>
      <c r="I66" s="134">
        <f t="shared" si="10"/>
        <v>26.03</v>
      </c>
      <c r="J66" s="549">
        <v>19</v>
      </c>
      <c r="K66" s="134">
        <f t="shared" si="11"/>
        <v>11293.5220309778</v>
      </c>
      <c r="L66" s="412">
        <v>10800</v>
      </c>
      <c r="M66" s="471"/>
      <c r="N66" s="455"/>
      <c r="O66" s="455"/>
      <c r="P66" s="455"/>
      <c r="Q66" s="455"/>
      <c r="R66" s="455"/>
    </row>
    <row r="67" spans="1:18" ht="17.25" customHeight="1">
      <c r="A67" s="790">
        <f t="shared" si="4"/>
        <v>62</v>
      </c>
      <c r="B67" s="161" t="s">
        <v>508</v>
      </c>
      <c r="C67" s="474">
        <v>42602</v>
      </c>
      <c r="D67" s="475" t="s">
        <v>728</v>
      </c>
      <c r="E67" s="534">
        <v>37.5</v>
      </c>
      <c r="F67" s="533">
        <v>25.5</v>
      </c>
      <c r="G67" s="533">
        <v>23.9</v>
      </c>
      <c r="H67" s="574">
        <f t="shared" si="3"/>
        <v>0.69</v>
      </c>
      <c r="I67" s="134">
        <f t="shared" si="10"/>
        <v>648.59999999999991</v>
      </c>
      <c r="J67" s="549">
        <v>940</v>
      </c>
      <c r="K67" s="134">
        <f t="shared" si="11"/>
        <v>5687.9782491785991</v>
      </c>
      <c r="L67" s="412">
        <v>5900</v>
      </c>
      <c r="M67" s="471"/>
      <c r="N67" s="455"/>
      <c r="O67" s="455"/>
      <c r="P67" s="455"/>
      <c r="Q67" s="455"/>
      <c r="R67" s="455"/>
    </row>
    <row r="68" spans="1:18" ht="17.25" customHeight="1">
      <c r="A68" s="790">
        <f t="shared" si="4"/>
        <v>63</v>
      </c>
      <c r="B68" s="161" t="s">
        <v>683</v>
      </c>
      <c r="C68" s="474">
        <v>42605</v>
      </c>
      <c r="D68" s="475" t="s">
        <v>729</v>
      </c>
      <c r="E68" s="534">
        <v>47</v>
      </c>
      <c r="F68" s="533">
        <v>47</v>
      </c>
      <c r="G68" s="533">
        <v>52</v>
      </c>
      <c r="H68" s="574">
        <f t="shared" si="3"/>
        <v>1.97</v>
      </c>
      <c r="I68" s="134">
        <f t="shared" si="10"/>
        <v>114.26</v>
      </c>
      <c r="J68" s="549">
        <v>58</v>
      </c>
      <c r="K68" s="134">
        <f t="shared" si="11"/>
        <v>16239.590073741798</v>
      </c>
      <c r="L68" s="412">
        <v>16070</v>
      </c>
      <c r="M68" s="471"/>
      <c r="N68" s="455"/>
      <c r="O68" s="455"/>
      <c r="P68" s="455"/>
      <c r="Q68" s="455"/>
      <c r="R68" s="455"/>
    </row>
    <row r="69" spans="1:18" ht="17.25" customHeight="1">
      <c r="A69" s="790">
        <f t="shared" si="4"/>
        <v>64</v>
      </c>
      <c r="B69" s="161" t="s">
        <v>496</v>
      </c>
      <c r="C69" s="474">
        <v>42605</v>
      </c>
      <c r="D69" s="475" t="s">
        <v>729</v>
      </c>
      <c r="E69" s="534">
        <v>10.3</v>
      </c>
      <c r="F69" s="533">
        <v>5.4</v>
      </c>
      <c r="G69" s="533">
        <v>18</v>
      </c>
      <c r="H69" s="574">
        <f t="shared" si="3"/>
        <v>0.1</v>
      </c>
      <c r="I69" s="134">
        <f t="shared" si="10"/>
        <v>5.6000000000000005</v>
      </c>
      <c r="J69" s="549">
        <v>56</v>
      </c>
      <c r="K69" s="134">
        <f t="shared" si="11"/>
        <v>824.34467379399996</v>
      </c>
      <c r="L69" s="412">
        <v>73100</v>
      </c>
      <c r="M69" s="471"/>
      <c r="N69" s="455"/>
      <c r="O69" s="455"/>
      <c r="P69" s="455"/>
      <c r="Q69" s="455"/>
      <c r="R69" s="455"/>
    </row>
    <row r="70" spans="1:18" ht="17.25" customHeight="1">
      <c r="A70" s="790">
        <f t="shared" si="4"/>
        <v>65</v>
      </c>
      <c r="B70" s="161" t="s">
        <v>651</v>
      </c>
      <c r="C70" s="474">
        <v>42607</v>
      </c>
      <c r="D70" s="475" t="s">
        <v>730</v>
      </c>
      <c r="E70" s="534">
        <v>53</v>
      </c>
      <c r="F70" s="533">
        <v>42</v>
      </c>
      <c r="G70" s="533">
        <v>29</v>
      </c>
      <c r="H70" s="574">
        <f t="shared" si="3"/>
        <v>1.44</v>
      </c>
      <c r="I70" s="134">
        <f t="shared" ref="I70:I101" si="12">H70*J70</f>
        <v>1497.6</v>
      </c>
      <c r="J70" s="549">
        <v>1040</v>
      </c>
      <c r="K70" s="134">
        <f t="shared" si="11"/>
        <v>11870.563302633598</v>
      </c>
      <c r="L70" s="412">
        <v>15100</v>
      </c>
      <c r="M70" s="471"/>
      <c r="N70" s="455"/>
      <c r="O70" s="455"/>
      <c r="P70" s="455"/>
      <c r="Q70" s="455"/>
      <c r="R70" s="455"/>
    </row>
    <row r="71" spans="1:18" ht="17.25" customHeight="1">
      <c r="A71" s="790">
        <f t="shared" si="4"/>
        <v>66</v>
      </c>
      <c r="B71" s="161" t="s">
        <v>651</v>
      </c>
      <c r="C71" s="474">
        <v>42607</v>
      </c>
      <c r="D71" s="475" t="s">
        <v>731</v>
      </c>
      <c r="E71" s="534">
        <v>53</v>
      </c>
      <c r="F71" s="533">
        <v>42</v>
      </c>
      <c r="G71" s="533">
        <v>29</v>
      </c>
      <c r="H71" s="574">
        <f t="shared" ref="H71:H124" si="13">IF(G71&lt;&gt;"",ROUND(((E71+F71)*2+5)*(F71+G71+3)/10000,2),ROUND(E71*F71/10000,2))</f>
        <v>1.44</v>
      </c>
      <c r="I71" s="134">
        <f t="shared" si="12"/>
        <v>158.4</v>
      </c>
      <c r="J71" s="549">
        <v>110</v>
      </c>
      <c r="K71" s="134">
        <f t="shared" si="11"/>
        <v>11870.563302633598</v>
      </c>
      <c r="L71" s="412">
        <v>15100</v>
      </c>
      <c r="M71" s="471"/>
      <c r="N71" s="455"/>
      <c r="O71" s="455"/>
      <c r="P71" s="455"/>
      <c r="Q71" s="455"/>
      <c r="R71" s="455"/>
    </row>
    <row r="72" spans="1:18" ht="17.25" customHeight="1">
      <c r="A72" s="790">
        <f t="shared" si="4"/>
        <v>67</v>
      </c>
      <c r="B72" s="161" t="s">
        <v>532</v>
      </c>
      <c r="C72" s="474">
        <v>42608</v>
      </c>
      <c r="D72" s="475" t="s">
        <v>732</v>
      </c>
      <c r="E72" s="534">
        <v>51.5</v>
      </c>
      <c r="F72" s="533">
        <v>39.5</v>
      </c>
      <c r="G72" s="533">
        <v>39.5</v>
      </c>
      <c r="H72" s="574">
        <f t="shared" si="13"/>
        <v>1.53</v>
      </c>
      <c r="I72" s="134">
        <f t="shared" si="12"/>
        <v>183.6</v>
      </c>
      <c r="J72" s="549">
        <v>120</v>
      </c>
      <c r="K72" s="134">
        <f t="shared" si="11"/>
        <v>12612.473509048199</v>
      </c>
      <c r="L72" s="412">
        <v>19000</v>
      </c>
      <c r="M72" s="471"/>
      <c r="N72" s="455"/>
      <c r="O72" s="455"/>
      <c r="P72" s="455"/>
      <c r="Q72" s="455"/>
      <c r="R72" s="455"/>
    </row>
    <row r="73" spans="1:18" ht="17.25" customHeight="1">
      <c r="A73" s="790">
        <f t="shared" si="4"/>
        <v>68</v>
      </c>
      <c r="B73" s="161" t="s">
        <v>533</v>
      </c>
      <c r="C73" s="474">
        <v>42608</v>
      </c>
      <c r="D73" s="475" t="s">
        <v>732</v>
      </c>
      <c r="E73" s="534">
        <v>50</v>
      </c>
      <c r="F73" s="533">
        <v>38</v>
      </c>
      <c r="G73" s="533"/>
      <c r="H73" s="574">
        <f t="shared" si="13"/>
        <v>0.19</v>
      </c>
      <c r="I73" s="134">
        <f t="shared" si="12"/>
        <v>45.6</v>
      </c>
      <c r="J73" s="549">
        <v>240</v>
      </c>
      <c r="K73" s="134">
        <f t="shared" si="11"/>
        <v>1566.2548802085998</v>
      </c>
      <c r="L73" s="412">
        <v>1750</v>
      </c>
      <c r="M73" s="471"/>
      <c r="N73" s="455"/>
      <c r="O73" s="455"/>
      <c r="P73" s="455"/>
      <c r="Q73" s="455"/>
      <c r="R73" s="455"/>
    </row>
    <row r="74" spans="1:18" ht="17.25" customHeight="1">
      <c r="A74" s="790">
        <f t="shared" si="4"/>
        <v>69</v>
      </c>
      <c r="B74" s="161" t="s">
        <v>513</v>
      </c>
      <c r="C74" s="474">
        <v>42608</v>
      </c>
      <c r="D74" s="475" t="s">
        <v>733</v>
      </c>
      <c r="E74" s="534">
        <v>49</v>
      </c>
      <c r="F74" s="533">
        <v>38</v>
      </c>
      <c r="G74" s="533">
        <v>12</v>
      </c>
      <c r="H74" s="574">
        <f t="shared" si="13"/>
        <v>0.95</v>
      </c>
      <c r="I74" s="134">
        <f t="shared" si="12"/>
        <v>487.34999999999997</v>
      </c>
      <c r="J74" s="549">
        <v>513</v>
      </c>
      <c r="K74" s="134">
        <f t="shared" si="11"/>
        <v>7831.2744010429988</v>
      </c>
      <c r="L74" s="412">
        <v>10500</v>
      </c>
      <c r="M74" s="471"/>
      <c r="N74" s="455"/>
      <c r="O74" s="455"/>
      <c r="P74" s="455"/>
      <c r="Q74" s="455"/>
      <c r="R74" s="455"/>
    </row>
    <row r="75" spans="1:18" ht="17.25" customHeight="1">
      <c r="A75" s="790">
        <f t="shared" si="4"/>
        <v>70</v>
      </c>
      <c r="B75" s="161" t="s">
        <v>534</v>
      </c>
      <c r="C75" s="474">
        <v>42608</v>
      </c>
      <c r="D75" s="475" t="s">
        <v>734</v>
      </c>
      <c r="E75" s="534">
        <v>52.5</v>
      </c>
      <c r="F75" s="533">
        <v>30.5</v>
      </c>
      <c r="G75" s="533">
        <v>8.5</v>
      </c>
      <c r="H75" s="574">
        <f t="shared" si="13"/>
        <v>0.72</v>
      </c>
      <c r="I75" s="134">
        <f t="shared" si="12"/>
        <v>720</v>
      </c>
      <c r="J75" s="549">
        <v>1000</v>
      </c>
      <c r="K75" s="134">
        <f t="shared" si="11"/>
        <v>5935.2816513167991</v>
      </c>
      <c r="L75" s="412">
        <v>7700</v>
      </c>
      <c r="M75" s="471"/>
      <c r="N75" s="455"/>
      <c r="O75" s="455"/>
      <c r="P75" s="455"/>
      <c r="Q75" s="455"/>
      <c r="R75" s="455"/>
    </row>
    <row r="76" spans="1:18" ht="17.25" customHeight="1">
      <c r="A76" s="790">
        <f t="shared" si="4"/>
        <v>71</v>
      </c>
      <c r="B76" s="161" t="s">
        <v>535</v>
      </c>
      <c r="C76" s="474">
        <v>42608</v>
      </c>
      <c r="D76" s="475" t="s">
        <v>734</v>
      </c>
      <c r="E76" s="534">
        <v>53</v>
      </c>
      <c r="F76" s="533">
        <v>31</v>
      </c>
      <c r="G76" s="533">
        <v>9.1999999999999993</v>
      </c>
      <c r="H76" s="574">
        <f t="shared" si="13"/>
        <v>0.75</v>
      </c>
      <c r="I76" s="134">
        <f t="shared" si="12"/>
        <v>727.5</v>
      </c>
      <c r="J76" s="549">
        <v>970</v>
      </c>
      <c r="K76" s="134">
        <f t="shared" si="11"/>
        <v>6182.5850534549991</v>
      </c>
      <c r="L76" s="412">
        <v>6400</v>
      </c>
      <c r="M76" s="471"/>
      <c r="N76" s="455"/>
      <c r="O76" s="455"/>
      <c r="P76" s="455"/>
      <c r="Q76" s="455"/>
      <c r="R76" s="455"/>
    </row>
    <row r="77" spans="1:18" ht="17.25" customHeight="1">
      <c r="A77" s="790">
        <f t="shared" si="4"/>
        <v>72</v>
      </c>
      <c r="B77" s="161" t="s">
        <v>536</v>
      </c>
      <c r="C77" s="474">
        <v>42609</v>
      </c>
      <c r="D77" s="475" t="s">
        <v>735</v>
      </c>
      <c r="E77" s="534">
        <v>43</v>
      </c>
      <c r="F77" s="533">
        <v>27.5</v>
      </c>
      <c r="G77" s="533">
        <v>23</v>
      </c>
      <c r="H77" s="574">
        <f t="shared" si="13"/>
        <v>0.78</v>
      </c>
      <c r="I77" s="134">
        <f t="shared" si="12"/>
        <v>158.34</v>
      </c>
      <c r="J77" s="549">
        <v>203</v>
      </c>
      <c r="K77" s="134">
        <f t="shared" si="11"/>
        <v>6429.8884555932</v>
      </c>
      <c r="L77" s="412">
        <v>6400</v>
      </c>
      <c r="M77" s="471"/>
      <c r="N77" s="455"/>
      <c r="O77" s="455"/>
      <c r="P77" s="455"/>
      <c r="Q77" s="455"/>
      <c r="R77" s="455"/>
    </row>
    <row r="78" spans="1:18" ht="17.25" customHeight="1">
      <c r="A78" s="790">
        <f t="shared" si="4"/>
        <v>73</v>
      </c>
      <c r="B78" s="161" t="s">
        <v>527</v>
      </c>
      <c r="C78" s="474">
        <v>42611</v>
      </c>
      <c r="D78" s="475" t="s">
        <v>736</v>
      </c>
      <c r="E78" s="534">
        <v>103</v>
      </c>
      <c r="F78" s="533">
        <v>50</v>
      </c>
      <c r="G78" s="533">
        <v>180</v>
      </c>
      <c r="H78" s="574">
        <f t="shared" si="13"/>
        <v>7.25</v>
      </c>
      <c r="I78" s="134">
        <f t="shared" si="12"/>
        <v>1160</v>
      </c>
      <c r="J78" s="549">
        <v>160</v>
      </c>
      <c r="K78" s="134">
        <f t="shared" si="11"/>
        <v>59764.988850064998</v>
      </c>
      <c r="L78" s="412">
        <v>47449</v>
      </c>
      <c r="M78" s="471"/>
      <c r="N78" s="455"/>
      <c r="O78" s="455"/>
      <c r="P78" s="455"/>
      <c r="Q78" s="455"/>
      <c r="R78" s="455"/>
    </row>
    <row r="79" spans="1:18" ht="17.25" customHeight="1">
      <c r="A79" s="790">
        <f t="shared" si="4"/>
        <v>74</v>
      </c>
      <c r="B79" s="161" t="s">
        <v>368</v>
      </c>
      <c r="C79" s="474">
        <v>42612</v>
      </c>
      <c r="D79" s="475" t="s">
        <v>737</v>
      </c>
      <c r="E79" s="534">
        <v>125</v>
      </c>
      <c r="F79" s="533">
        <v>185</v>
      </c>
      <c r="G79" s="533"/>
      <c r="H79" s="574">
        <f t="shared" si="13"/>
        <v>2.31</v>
      </c>
      <c r="I79" s="134">
        <f t="shared" si="12"/>
        <v>1155</v>
      </c>
      <c r="J79" s="549">
        <v>500</v>
      </c>
      <c r="K79" s="134">
        <f t="shared" si="11"/>
        <v>19042.361964641397</v>
      </c>
      <c r="L79" s="412">
        <v>12950</v>
      </c>
      <c r="M79" s="471"/>
      <c r="N79" s="455"/>
      <c r="O79" s="455"/>
      <c r="P79" s="455"/>
      <c r="Q79" s="455"/>
      <c r="R79" s="455"/>
    </row>
    <row r="80" spans="1:18" ht="17.25" customHeight="1">
      <c r="A80" s="790">
        <f t="shared" si="4"/>
        <v>75</v>
      </c>
      <c r="B80" s="161" t="s">
        <v>500</v>
      </c>
      <c r="C80" s="474">
        <v>42613</v>
      </c>
      <c r="D80" s="475" t="s">
        <v>738</v>
      </c>
      <c r="E80" s="534">
        <v>45</v>
      </c>
      <c r="F80" s="533">
        <v>37</v>
      </c>
      <c r="G80" s="533">
        <v>27.5</v>
      </c>
      <c r="H80" s="574">
        <f t="shared" si="13"/>
        <v>1.1399999999999999</v>
      </c>
      <c r="I80" s="134">
        <f t="shared" si="12"/>
        <v>1709.9999999999998</v>
      </c>
      <c r="J80" s="549">
        <v>1500</v>
      </c>
      <c r="K80" s="134">
        <f t="shared" si="11"/>
        <v>9397.5292812515981</v>
      </c>
      <c r="L80" s="412">
        <v>13800</v>
      </c>
      <c r="M80" s="471"/>
      <c r="N80" s="455"/>
      <c r="O80" s="455"/>
      <c r="P80" s="455"/>
      <c r="Q80" s="455"/>
      <c r="R80" s="455"/>
    </row>
    <row r="81" spans="1:18" ht="17.25" customHeight="1">
      <c r="A81" s="790">
        <f t="shared" si="4"/>
        <v>76</v>
      </c>
      <c r="B81" s="161" t="s">
        <v>500</v>
      </c>
      <c r="C81" s="474">
        <v>42613</v>
      </c>
      <c r="D81" s="475" t="s">
        <v>738</v>
      </c>
      <c r="E81" s="534">
        <v>45</v>
      </c>
      <c r="F81" s="533">
        <v>37</v>
      </c>
      <c r="G81" s="533">
        <v>27.5</v>
      </c>
      <c r="H81" s="574">
        <f t="shared" si="13"/>
        <v>1.1399999999999999</v>
      </c>
      <c r="I81" s="134">
        <f t="shared" si="12"/>
        <v>455.99999999999994</v>
      </c>
      <c r="J81" s="549">
        <v>400</v>
      </c>
      <c r="K81" s="134">
        <f t="shared" si="11"/>
        <v>9397.5292812515981</v>
      </c>
      <c r="L81" s="412">
        <v>13400</v>
      </c>
      <c r="M81" s="471"/>
      <c r="N81" s="455"/>
      <c r="O81" s="455"/>
      <c r="P81" s="455"/>
      <c r="Q81" s="455"/>
      <c r="R81" s="455"/>
    </row>
    <row r="82" spans="1:18" ht="17.25" customHeight="1">
      <c r="A82" s="790">
        <f t="shared" si="4"/>
        <v>77</v>
      </c>
      <c r="B82" s="161" t="s">
        <v>375</v>
      </c>
      <c r="C82" s="474">
        <v>42613</v>
      </c>
      <c r="D82" s="475" t="s">
        <v>738</v>
      </c>
      <c r="E82" s="534">
        <v>44</v>
      </c>
      <c r="F82" s="533">
        <v>20</v>
      </c>
      <c r="G82" s="533"/>
      <c r="H82" s="574">
        <f t="shared" si="13"/>
        <v>0.09</v>
      </c>
      <c r="I82" s="134">
        <f t="shared" si="12"/>
        <v>342</v>
      </c>
      <c r="J82" s="549">
        <v>3800</v>
      </c>
      <c r="K82" s="134">
        <f t="shared" si="11"/>
        <v>741.91020641459988</v>
      </c>
      <c r="L82" s="412">
        <v>1300</v>
      </c>
      <c r="M82" s="471"/>
      <c r="N82" s="455"/>
      <c r="O82" s="455"/>
      <c r="P82" s="455"/>
      <c r="Q82" s="455"/>
      <c r="R82" s="455"/>
    </row>
    <row r="83" spans="1:18" ht="17.25" customHeight="1">
      <c r="A83" s="790">
        <f t="shared" si="4"/>
        <v>78</v>
      </c>
      <c r="B83" s="161" t="s">
        <v>518</v>
      </c>
      <c r="C83" s="474">
        <v>42613</v>
      </c>
      <c r="D83" s="475" t="s">
        <v>739</v>
      </c>
      <c r="E83" s="534">
        <v>52</v>
      </c>
      <c r="F83" s="533">
        <v>24.5</v>
      </c>
      <c r="G83" s="533">
        <v>24.5</v>
      </c>
      <c r="H83" s="574">
        <f t="shared" si="13"/>
        <v>0.82</v>
      </c>
      <c r="I83" s="134">
        <f t="shared" si="12"/>
        <v>671.57999999999993</v>
      </c>
      <c r="J83" s="549">
        <v>819</v>
      </c>
      <c r="K83" s="134">
        <f t="shared" si="11"/>
        <v>6759.6263251107994</v>
      </c>
      <c r="L83" s="412">
        <v>5000</v>
      </c>
      <c r="M83" s="471"/>
      <c r="N83" s="455"/>
      <c r="O83" s="455"/>
      <c r="P83" s="455"/>
      <c r="Q83" s="455"/>
      <c r="R83" s="455"/>
    </row>
    <row r="84" spans="1:18" ht="17.25" customHeight="1">
      <c r="A84" s="790">
        <f t="shared" si="4"/>
        <v>79</v>
      </c>
      <c r="B84" s="161" t="s">
        <v>544</v>
      </c>
      <c r="C84" s="474">
        <v>42613</v>
      </c>
      <c r="D84" s="475" t="s">
        <v>739</v>
      </c>
      <c r="E84" s="534">
        <v>52</v>
      </c>
      <c r="F84" s="533">
        <v>26.5</v>
      </c>
      <c r="G84" s="533">
        <v>26.5</v>
      </c>
      <c r="H84" s="574">
        <f t="shared" si="13"/>
        <v>0.91</v>
      </c>
      <c r="I84" s="134">
        <f t="shared" si="12"/>
        <v>555.1</v>
      </c>
      <c r="J84" s="549">
        <v>610</v>
      </c>
      <c r="K84" s="134">
        <f t="shared" si="11"/>
        <v>7501.5365315253994</v>
      </c>
      <c r="L84" s="412">
        <v>5550</v>
      </c>
      <c r="M84" s="471"/>
      <c r="N84" s="455"/>
      <c r="O84" s="455"/>
      <c r="P84" s="455"/>
      <c r="Q84" s="455"/>
      <c r="R84" s="455"/>
    </row>
    <row r="85" spans="1:18" ht="17.25" customHeight="1">
      <c r="A85" s="790">
        <f t="shared" si="4"/>
        <v>80</v>
      </c>
      <c r="B85" s="161" t="s">
        <v>520</v>
      </c>
      <c r="C85" s="474">
        <v>42613</v>
      </c>
      <c r="D85" s="475" t="s">
        <v>739</v>
      </c>
      <c r="E85" s="534">
        <v>55</v>
      </c>
      <c r="F85" s="533">
        <v>45</v>
      </c>
      <c r="G85" s="533">
        <v>29</v>
      </c>
      <c r="H85" s="574">
        <f t="shared" si="13"/>
        <v>1.58</v>
      </c>
      <c r="I85" s="134">
        <f t="shared" si="12"/>
        <v>946.42000000000007</v>
      </c>
      <c r="J85" s="549">
        <v>599</v>
      </c>
      <c r="K85" s="134">
        <f t="shared" si="11"/>
        <v>13024.645845945199</v>
      </c>
      <c r="L85" s="412">
        <v>9700</v>
      </c>
      <c r="M85" s="471"/>
      <c r="N85" s="455"/>
      <c r="O85" s="455"/>
      <c r="P85" s="455"/>
      <c r="Q85" s="455"/>
      <c r="R85" s="455"/>
    </row>
    <row r="86" spans="1:18" ht="17.25" customHeight="1">
      <c r="A86" s="790">
        <f t="shared" si="4"/>
        <v>81</v>
      </c>
      <c r="B86" s="161" t="s">
        <v>623</v>
      </c>
      <c r="C86" s="474">
        <v>42613</v>
      </c>
      <c r="D86" s="475" t="s">
        <v>739</v>
      </c>
      <c r="E86" s="534">
        <v>61</v>
      </c>
      <c r="F86" s="533">
        <v>51</v>
      </c>
      <c r="G86" s="533">
        <v>30</v>
      </c>
      <c r="H86" s="574">
        <f t="shared" si="13"/>
        <v>1.92</v>
      </c>
      <c r="I86" s="134">
        <f t="shared" si="12"/>
        <v>585.6</v>
      </c>
      <c r="J86" s="549">
        <v>305</v>
      </c>
      <c r="K86" s="134">
        <f t="shared" ref="K86:K117" si="14">H86*$R$33</f>
        <v>15827.417736844798</v>
      </c>
      <c r="L86" s="412">
        <v>10670</v>
      </c>
      <c r="M86" s="471"/>
      <c r="N86" s="455"/>
      <c r="O86" s="455"/>
      <c r="P86" s="455"/>
      <c r="Q86" s="455"/>
      <c r="R86" s="455"/>
    </row>
    <row r="87" spans="1:18" ht="17.25" customHeight="1">
      <c r="A87" s="790">
        <f t="shared" si="4"/>
        <v>82</v>
      </c>
      <c r="B87" s="161" t="s">
        <v>538</v>
      </c>
      <c r="C87" s="474">
        <v>42614</v>
      </c>
      <c r="D87" s="475" t="s">
        <v>740</v>
      </c>
      <c r="E87" s="534">
        <v>52</v>
      </c>
      <c r="F87" s="533">
        <v>28</v>
      </c>
      <c r="G87" s="533">
        <v>28</v>
      </c>
      <c r="H87" s="574">
        <f t="shared" si="13"/>
        <v>0.97</v>
      </c>
      <c r="I87" s="134">
        <f t="shared" si="12"/>
        <v>488.88</v>
      </c>
      <c r="J87" s="549">
        <v>504</v>
      </c>
      <c r="K87" s="134">
        <f t="shared" si="14"/>
        <v>7996.1433358017994</v>
      </c>
      <c r="L87" s="412">
        <v>6400</v>
      </c>
      <c r="M87" s="471"/>
      <c r="N87" s="455"/>
      <c r="O87" s="455"/>
      <c r="P87" s="455"/>
      <c r="Q87" s="455"/>
      <c r="R87" s="455"/>
    </row>
    <row r="88" spans="1:18" ht="17.25" customHeight="1">
      <c r="A88" s="790">
        <f t="shared" si="4"/>
        <v>83</v>
      </c>
      <c r="B88" s="161" t="s">
        <v>539</v>
      </c>
      <c r="C88" s="474">
        <v>42614</v>
      </c>
      <c r="D88" s="475" t="s">
        <v>741</v>
      </c>
      <c r="E88" s="534">
        <v>32</v>
      </c>
      <c r="F88" s="533">
        <v>26</v>
      </c>
      <c r="G88" s="533">
        <v>25</v>
      </c>
      <c r="H88" s="574">
        <f t="shared" si="13"/>
        <v>0.65</v>
      </c>
      <c r="I88" s="134">
        <f t="shared" si="12"/>
        <v>1729</v>
      </c>
      <c r="J88" s="549">
        <v>2660</v>
      </c>
      <c r="K88" s="134">
        <f t="shared" si="14"/>
        <v>5358.2403796609997</v>
      </c>
      <c r="L88" s="412">
        <v>7350</v>
      </c>
      <c r="M88" s="471"/>
      <c r="N88" s="455"/>
      <c r="O88" s="455"/>
      <c r="P88" s="455"/>
      <c r="Q88" s="455"/>
      <c r="R88" s="455"/>
    </row>
    <row r="89" spans="1:18" ht="17.25" customHeight="1">
      <c r="A89" s="790">
        <f t="shared" si="4"/>
        <v>84</v>
      </c>
      <c r="B89" s="161" t="s">
        <v>649</v>
      </c>
      <c r="C89" s="474">
        <v>42618</v>
      </c>
      <c r="D89" s="475" t="s">
        <v>742</v>
      </c>
      <c r="E89" s="534">
        <v>36</v>
      </c>
      <c r="F89" s="533">
        <v>30.5</v>
      </c>
      <c r="G89" s="533">
        <v>42</v>
      </c>
      <c r="H89" s="574">
        <f t="shared" si="13"/>
        <v>1.04</v>
      </c>
      <c r="I89" s="134">
        <f t="shared" si="12"/>
        <v>428.48</v>
      </c>
      <c r="J89" s="549">
        <v>412</v>
      </c>
      <c r="K89" s="134">
        <f t="shared" si="14"/>
        <v>8573.1846074575988</v>
      </c>
      <c r="L89" s="412">
        <v>11800</v>
      </c>
      <c r="M89" s="471"/>
      <c r="N89" s="455"/>
      <c r="O89" s="455"/>
      <c r="P89" s="455"/>
      <c r="Q89" s="455"/>
      <c r="R89" s="455"/>
    </row>
    <row r="90" spans="1:18" ht="17.25" customHeight="1">
      <c r="A90" s="790">
        <f t="shared" si="4"/>
        <v>85</v>
      </c>
      <c r="B90" s="161" t="s">
        <v>498</v>
      </c>
      <c r="C90" s="474">
        <v>42618</v>
      </c>
      <c r="D90" s="475" t="s">
        <v>742</v>
      </c>
      <c r="E90" s="534">
        <v>47</v>
      </c>
      <c r="F90" s="533">
        <v>42</v>
      </c>
      <c r="G90" s="533">
        <v>25</v>
      </c>
      <c r="H90" s="574">
        <f t="shared" si="13"/>
        <v>1.28</v>
      </c>
      <c r="I90" s="134">
        <f t="shared" si="12"/>
        <v>488.96000000000004</v>
      </c>
      <c r="J90" s="549">
        <v>382</v>
      </c>
      <c r="K90" s="134">
        <f t="shared" si="14"/>
        <v>10551.611824563199</v>
      </c>
      <c r="L90" s="412">
        <v>9400</v>
      </c>
      <c r="M90" s="471"/>
      <c r="N90" s="455"/>
      <c r="O90" s="455"/>
      <c r="P90" s="455"/>
      <c r="Q90" s="455"/>
      <c r="R90" s="455"/>
    </row>
    <row r="91" spans="1:18" ht="17.25" customHeight="1">
      <c r="A91" s="790">
        <f t="shared" si="4"/>
        <v>86</v>
      </c>
      <c r="B91" s="161" t="s">
        <v>498</v>
      </c>
      <c r="C91" s="474">
        <v>42618</v>
      </c>
      <c r="D91" s="475" t="s">
        <v>742</v>
      </c>
      <c r="E91" s="534">
        <v>47</v>
      </c>
      <c r="F91" s="533">
        <v>42</v>
      </c>
      <c r="G91" s="533">
        <v>25</v>
      </c>
      <c r="H91" s="574">
        <f t="shared" si="13"/>
        <v>1.28</v>
      </c>
      <c r="I91" s="134">
        <f t="shared" si="12"/>
        <v>140.80000000000001</v>
      </c>
      <c r="J91" s="549">
        <v>110</v>
      </c>
      <c r="K91" s="134">
        <f t="shared" si="14"/>
        <v>10551.611824563199</v>
      </c>
      <c r="L91" s="412">
        <v>16700</v>
      </c>
      <c r="M91" s="471"/>
      <c r="N91" s="455"/>
      <c r="O91" s="455"/>
      <c r="P91" s="455"/>
      <c r="Q91" s="455"/>
      <c r="R91" s="455"/>
    </row>
    <row r="92" spans="1:18" ht="17.25" customHeight="1">
      <c r="A92" s="790">
        <f t="shared" si="4"/>
        <v>87</v>
      </c>
      <c r="B92" s="161" t="s">
        <v>650</v>
      </c>
      <c r="C92" s="474">
        <v>42618</v>
      </c>
      <c r="D92" s="475" t="s">
        <v>742</v>
      </c>
      <c r="E92" s="534">
        <v>28</v>
      </c>
      <c r="F92" s="533">
        <v>28</v>
      </c>
      <c r="G92" s="533">
        <v>42</v>
      </c>
      <c r="H92" s="574">
        <f t="shared" si="13"/>
        <v>0.85</v>
      </c>
      <c r="I92" s="134">
        <f t="shared" si="12"/>
        <v>93.5</v>
      </c>
      <c r="J92" s="549">
        <v>110</v>
      </c>
      <c r="K92" s="134">
        <f t="shared" si="14"/>
        <v>7006.9297272489994</v>
      </c>
      <c r="L92" s="412">
        <v>6300</v>
      </c>
      <c r="M92" s="471"/>
      <c r="N92" s="455"/>
      <c r="O92" s="455"/>
      <c r="P92" s="455"/>
      <c r="Q92" s="455"/>
      <c r="R92" s="455"/>
    </row>
    <row r="93" spans="1:18" ht="17.25" customHeight="1">
      <c r="A93" s="790">
        <f t="shared" si="4"/>
        <v>88</v>
      </c>
      <c r="B93" s="161" t="s">
        <v>651</v>
      </c>
      <c r="C93" s="474">
        <v>42618</v>
      </c>
      <c r="D93" s="475" t="s">
        <v>743</v>
      </c>
      <c r="E93" s="534">
        <v>53</v>
      </c>
      <c r="F93" s="533">
        <v>42</v>
      </c>
      <c r="G93" s="533">
        <v>29</v>
      </c>
      <c r="H93" s="574">
        <f t="shared" si="13"/>
        <v>1.44</v>
      </c>
      <c r="I93" s="134">
        <f t="shared" si="12"/>
        <v>93.6</v>
      </c>
      <c r="J93" s="549">
        <v>65</v>
      </c>
      <c r="K93" s="134">
        <f t="shared" si="14"/>
        <v>11870.563302633598</v>
      </c>
      <c r="L93" s="412">
        <v>15600</v>
      </c>
      <c r="M93" s="471"/>
      <c r="N93" s="455"/>
      <c r="O93" s="455"/>
      <c r="P93" s="455"/>
      <c r="Q93" s="455"/>
      <c r="R93" s="455"/>
    </row>
    <row r="94" spans="1:18" ht="17.25" customHeight="1">
      <c r="A94" s="790">
        <f t="shared" si="4"/>
        <v>89</v>
      </c>
      <c r="B94" s="161" t="s">
        <v>652</v>
      </c>
      <c r="C94" s="474">
        <v>42618</v>
      </c>
      <c r="D94" s="475" t="s">
        <v>743</v>
      </c>
      <c r="E94" s="534">
        <v>47</v>
      </c>
      <c r="F94" s="533">
        <v>42</v>
      </c>
      <c r="G94" s="533">
        <v>13.5</v>
      </c>
      <c r="H94" s="574">
        <f t="shared" si="13"/>
        <v>1.07</v>
      </c>
      <c r="I94" s="134">
        <f t="shared" si="12"/>
        <v>981.19</v>
      </c>
      <c r="J94" s="549">
        <v>917</v>
      </c>
      <c r="K94" s="134">
        <f t="shared" si="14"/>
        <v>8820.4880095957997</v>
      </c>
      <c r="L94" s="412">
        <v>7900</v>
      </c>
      <c r="M94" s="471"/>
      <c r="N94" s="455"/>
      <c r="O94" s="455"/>
      <c r="P94" s="455"/>
      <c r="Q94" s="455"/>
      <c r="R94" s="455"/>
    </row>
    <row r="95" spans="1:18" ht="17.25" customHeight="1">
      <c r="A95" s="790">
        <f t="shared" si="4"/>
        <v>90</v>
      </c>
      <c r="B95" s="161" t="s">
        <v>498</v>
      </c>
      <c r="C95" s="474">
        <v>42618</v>
      </c>
      <c r="D95" s="475" t="s">
        <v>743</v>
      </c>
      <c r="E95" s="534">
        <v>47</v>
      </c>
      <c r="F95" s="533">
        <v>42</v>
      </c>
      <c r="G95" s="533">
        <v>25</v>
      </c>
      <c r="H95" s="574">
        <f t="shared" si="13"/>
        <v>1.28</v>
      </c>
      <c r="I95" s="134">
        <f t="shared" si="12"/>
        <v>92.16</v>
      </c>
      <c r="J95" s="549">
        <v>72</v>
      </c>
      <c r="K95" s="134">
        <f t="shared" si="14"/>
        <v>10551.611824563199</v>
      </c>
      <c r="L95" s="412">
        <v>9400</v>
      </c>
      <c r="M95" s="471"/>
      <c r="N95" s="455"/>
      <c r="O95" s="455"/>
      <c r="P95" s="455"/>
      <c r="Q95" s="455"/>
      <c r="R95" s="455"/>
    </row>
    <row r="96" spans="1:18" ht="17.25" customHeight="1">
      <c r="A96" s="790">
        <f t="shared" si="4"/>
        <v>91</v>
      </c>
      <c r="B96" s="161" t="s">
        <v>508</v>
      </c>
      <c r="C96" s="474">
        <v>42619</v>
      </c>
      <c r="D96" s="475" t="s">
        <v>744</v>
      </c>
      <c r="E96" s="534">
        <v>37.5</v>
      </c>
      <c r="F96" s="533">
        <v>25.5</v>
      </c>
      <c r="G96" s="533">
        <v>23.9</v>
      </c>
      <c r="H96" s="574">
        <f t="shared" si="13"/>
        <v>0.69</v>
      </c>
      <c r="I96" s="134">
        <f t="shared" si="12"/>
        <v>714.83999999999992</v>
      </c>
      <c r="J96" s="549">
        <v>1036</v>
      </c>
      <c r="K96" s="134">
        <f t="shared" si="14"/>
        <v>5687.9782491785991</v>
      </c>
      <c r="L96" s="412">
        <v>5900</v>
      </c>
      <c r="M96" s="471"/>
      <c r="N96" s="455"/>
      <c r="O96" s="455"/>
      <c r="P96" s="455"/>
      <c r="Q96" s="455"/>
      <c r="R96" s="455"/>
    </row>
    <row r="97" spans="1:18" ht="17.25" customHeight="1">
      <c r="A97" s="790">
        <f t="shared" si="4"/>
        <v>92</v>
      </c>
      <c r="B97" s="161" t="s">
        <v>662</v>
      </c>
      <c r="C97" s="474">
        <v>42619</v>
      </c>
      <c r="D97" s="475" t="s">
        <v>746</v>
      </c>
      <c r="E97" s="534">
        <v>39.5</v>
      </c>
      <c r="F97" s="533">
        <v>32.299999999999997</v>
      </c>
      <c r="G97" s="533">
        <v>27.7</v>
      </c>
      <c r="H97" s="574">
        <f t="shared" si="13"/>
        <v>0.94</v>
      </c>
      <c r="I97" s="134">
        <f t="shared" si="12"/>
        <v>199.28</v>
      </c>
      <c r="J97" s="549">
        <v>212</v>
      </c>
      <c r="K97" s="134">
        <f t="shared" si="14"/>
        <v>7748.8399336635994</v>
      </c>
      <c r="L97" s="412">
        <v>9400</v>
      </c>
      <c r="M97" s="471"/>
      <c r="N97" s="455"/>
      <c r="O97" s="455"/>
      <c r="P97" s="455"/>
      <c r="Q97" s="455"/>
      <c r="R97" s="455"/>
    </row>
    <row r="98" spans="1:18" ht="17.25" customHeight="1">
      <c r="A98" s="790">
        <f t="shared" si="4"/>
        <v>93</v>
      </c>
      <c r="B98" s="161" t="s">
        <v>527</v>
      </c>
      <c r="C98" s="474">
        <v>42620</v>
      </c>
      <c r="D98" s="475" t="s">
        <v>748</v>
      </c>
      <c r="E98" s="534">
        <v>103</v>
      </c>
      <c r="F98" s="533">
        <v>50</v>
      </c>
      <c r="G98" s="533">
        <v>180</v>
      </c>
      <c r="H98" s="574">
        <f t="shared" si="13"/>
        <v>7.25</v>
      </c>
      <c r="I98" s="134">
        <f t="shared" si="12"/>
        <v>435</v>
      </c>
      <c r="J98" s="549">
        <v>60</v>
      </c>
      <c r="K98" s="134">
        <f t="shared" si="14"/>
        <v>59764.988850064998</v>
      </c>
      <c r="L98" s="412">
        <v>47449</v>
      </c>
      <c r="M98" s="471"/>
      <c r="N98" s="455"/>
      <c r="O98" s="455"/>
      <c r="P98" s="455"/>
      <c r="Q98" s="455"/>
      <c r="R98" s="455"/>
    </row>
    <row r="99" spans="1:18" ht="17.25" customHeight="1">
      <c r="A99" s="790">
        <f t="shared" si="4"/>
        <v>94</v>
      </c>
      <c r="B99" s="161" t="s">
        <v>664</v>
      </c>
      <c r="C99" s="474">
        <v>42620</v>
      </c>
      <c r="D99" s="475" t="s">
        <v>748</v>
      </c>
      <c r="E99" s="534">
        <v>122</v>
      </c>
      <c r="F99" s="533">
        <v>54</v>
      </c>
      <c r="G99" s="533">
        <v>180</v>
      </c>
      <c r="H99" s="574">
        <f t="shared" si="13"/>
        <v>8.4600000000000009</v>
      </c>
      <c r="I99" s="134">
        <f t="shared" si="12"/>
        <v>169.20000000000002</v>
      </c>
      <c r="J99" s="549">
        <v>20</v>
      </c>
      <c r="K99" s="134">
        <f t="shared" si="14"/>
        <v>69739.559402972402</v>
      </c>
      <c r="L99" s="412">
        <v>54530</v>
      </c>
      <c r="M99" s="471"/>
      <c r="N99" s="455"/>
      <c r="O99" s="455"/>
      <c r="P99" s="455"/>
      <c r="Q99" s="455"/>
      <c r="R99" s="455"/>
    </row>
    <row r="100" spans="1:18" ht="17.25" customHeight="1">
      <c r="A100" s="790">
        <f t="shared" si="4"/>
        <v>95</v>
      </c>
      <c r="B100" s="161" t="s">
        <v>541</v>
      </c>
      <c r="C100" s="474">
        <v>42621</v>
      </c>
      <c r="D100" s="475" t="s">
        <v>749</v>
      </c>
      <c r="E100" s="534">
        <v>23.5</v>
      </c>
      <c r="F100" s="533">
        <v>23.5</v>
      </c>
      <c r="G100" s="533">
        <v>30</v>
      </c>
      <c r="H100" s="574">
        <f t="shared" si="13"/>
        <v>0.56000000000000005</v>
      </c>
      <c r="I100" s="134">
        <f t="shared" si="12"/>
        <v>575.12</v>
      </c>
      <c r="J100" s="549">
        <v>1027</v>
      </c>
      <c r="K100" s="134">
        <f t="shared" si="14"/>
        <v>4616.3301732463997</v>
      </c>
      <c r="L100" s="412">
        <v>6700</v>
      </c>
      <c r="M100" s="471"/>
      <c r="N100" s="455"/>
      <c r="O100" s="455"/>
      <c r="P100" s="455"/>
      <c r="Q100" s="455"/>
      <c r="R100" s="455"/>
    </row>
    <row r="101" spans="1:18" ht="17.25" customHeight="1">
      <c r="A101" s="790">
        <f t="shared" si="4"/>
        <v>96</v>
      </c>
      <c r="B101" s="161" t="s">
        <v>644</v>
      </c>
      <c r="C101" s="474">
        <v>42621</v>
      </c>
      <c r="D101" s="475" t="s">
        <v>750</v>
      </c>
      <c r="E101" s="534">
        <v>43</v>
      </c>
      <c r="F101" s="533">
        <v>42</v>
      </c>
      <c r="G101" s="533">
        <v>26</v>
      </c>
      <c r="H101" s="574">
        <f t="shared" si="13"/>
        <v>1.24</v>
      </c>
      <c r="I101" s="134">
        <f t="shared" si="12"/>
        <v>372</v>
      </c>
      <c r="J101" s="549">
        <v>300</v>
      </c>
      <c r="K101" s="134">
        <f t="shared" si="14"/>
        <v>10221.873955045599</v>
      </c>
      <c r="L101" s="412">
        <v>12400</v>
      </c>
      <c r="M101" s="471"/>
      <c r="N101" s="455"/>
      <c r="O101" s="455"/>
      <c r="P101" s="455"/>
      <c r="Q101" s="455"/>
      <c r="R101" s="455"/>
    </row>
    <row r="102" spans="1:18" ht="17.25" customHeight="1">
      <c r="A102" s="790">
        <f t="shared" si="4"/>
        <v>97</v>
      </c>
      <c r="B102" s="161" t="s">
        <v>645</v>
      </c>
      <c r="C102" s="474">
        <v>42621</v>
      </c>
      <c r="D102" s="475" t="s">
        <v>750</v>
      </c>
      <c r="E102" s="534">
        <v>49</v>
      </c>
      <c r="F102" s="533">
        <v>47</v>
      </c>
      <c r="G102" s="533">
        <v>27</v>
      </c>
      <c r="H102" s="574">
        <f t="shared" si="13"/>
        <v>1.52</v>
      </c>
      <c r="I102" s="134">
        <f t="shared" ref="I102:I124" si="15">H102*J102</f>
        <v>456</v>
      </c>
      <c r="J102" s="549">
        <v>300</v>
      </c>
      <c r="K102" s="134">
        <f t="shared" si="14"/>
        <v>12530.039041668799</v>
      </c>
      <c r="L102" s="412">
        <v>14200</v>
      </c>
      <c r="M102" s="471"/>
      <c r="N102" s="455"/>
      <c r="O102" s="455"/>
      <c r="P102" s="455"/>
      <c r="Q102" s="455"/>
      <c r="R102" s="455"/>
    </row>
    <row r="103" spans="1:18" ht="17.25" customHeight="1">
      <c r="A103" s="790">
        <f t="shared" si="4"/>
        <v>98</v>
      </c>
      <c r="B103" s="161" t="s">
        <v>648</v>
      </c>
      <c r="C103" s="474">
        <v>42621</v>
      </c>
      <c r="D103" s="475" t="s">
        <v>750</v>
      </c>
      <c r="E103" s="534">
        <v>38</v>
      </c>
      <c r="F103" s="533">
        <v>37</v>
      </c>
      <c r="G103" s="533">
        <v>30</v>
      </c>
      <c r="H103" s="574">
        <f t="shared" si="13"/>
        <v>1.0900000000000001</v>
      </c>
      <c r="I103" s="134">
        <f t="shared" si="15"/>
        <v>327</v>
      </c>
      <c r="J103" s="549">
        <v>300</v>
      </c>
      <c r="K103" s="134">
        <f t="shared" si="14"/>
        <v>8985.3569443546003</v>
      </c>
      <c r="L103" s="412">
        <v>15300</v>
      </c>
      <c r="M103" s="471"/>
      <c r="N103" s="455"/>
      <c r="O103" s="455"/>
      <c r="P103" s="455"/>
      <c r="Q103" s="455"/>
      <c r="R103" s="455"/>
    </row>
    <row r="104" spans="1:18" ht="17.25" customHeight="1">
      <c r="A104" s="790">
        <f t="shared" si="4"/>
        <v>99</v>
      </c>
      <c r="B104" s="161" t="s">
        <v>646</v>
      </c>
      <c r="C104" s="474">
        <v>42621</v>
      </c>
      <c r="D104" s="475" t="s">
        <v>750</v>
      </c>
      <c r="E104" s="534">
        <v>40</v>
      </c>
      <c r="F104" s="533">
        <v>39</v>
      </c>
      <c r="G104" s="533">
        <v>32</v>
      </c>
      <c r="H104" s="574">
        <f t="shared" si="13"/>
        <v>1.21</v>
      </c>
      <c r="I104" s="134">
        <f t="shared" si="15"/>
        <v>363</v>
      </c>
      <c r="J104" s="549">
        <v>300</v>
      </c>
      <c r="K104" s="134">
        <f t="shared" si="14"/>
        <v>9974.5705529073985</v>
      </c>
      <c r="L104" s="412">
        <v>16500</v>
      </c>
      <c r="M104" s="471"/>
      <c r="N104" s="455"/>
      <c r="O104" s="455"/>
      <c r="P104" s="455"/>
      <c r="Q104" s="455"/>
      <c r="R104" s="455"/>
    </row>
    <row r="105" spans="1:18" ht="17.25" customHeight="1">
      <c r="A105" s="790">
        <f t="shared" si="4"/>
        <v>100</v>
      </c>
      <c r="B105" s="161" t="s">
        <v>647</v>
      </c>
      <c r="C105" s="474">
        <v>42621</v>
      </c>
      <c r="D105" s="475" t="s">
        <v>750</v>
      </c>
      <c r="E105" s="534">
        <v>42</v>
      </c>
      <c r="F105" s="533">
        <v>41</v>
      </c>
      <c r="G105" s="533">
        <v>34</v>
      </c>
      <c r="H105" s="574">
        <f t="shared" si="13"/>
        <v>1.33</v>
      </c>
      <c r="I105" s="134">
        <f t="shared" si="15"/>
        <v>399</v>
      </c>
      <c r="J105" s="549">
        <v>300</v>
      </c>
      <c r="K105" s="134">
        <f t="shared" si="14"/>
        <v>10963.7841614602</v>
      </c>
      <c r="L105" s="412">
        <v>19700</v>
      </c>
      <c r="M105" s="471"/>
      <c r="N105" s="455"/>
      <c r="O105" s="455"/>
      <c r="P105" s="455"/>
      <c r="Q105" s="455"/>
      <c r="R105" s="455"/>
    </row>
    <row r="106" spans="1:18" ht="17.25" customHeight="1">
      <c r="A106" s="790">
        <f t="shared" si="4"/>
        <v>101</v>
      </c>
      <c r="B106" s="161" t="s">
        <v>543</v>
      </c>
      <c r="C106" s="474">
        <v>42624</v>
      </c>
      <c r="D106" s="475" t="s">
        <v>751</v>
      </c>
      <c r="E106" s="534">
        <v>44.5</v>
      </c>
      <c r="F106" s="533">
        <v>28.5</v>
      </c>
      <c r="G106" s="533">
        <v>22.5</v>
      </c>
      <c r="H106" s="574">
        <f t="shared" si="13"/>
        <v>0.82</v>
      </c>
      <c r="I106" s="134">
        <f t="shared" si="15"/>
        <v>8626.4</v>
      </c>
      <c r="J106" s="549">
        <v>10520</v>
      </c>
      <c r="K106" s="134">
        <f t="shared" si="14"/>
        <v>6759.6263251107994</v>
      </c>
      <c r="L106" s="412">
        <v>9000</v>
      </c>
      <c r="M106" s="471"/>
      <c r="N106" s="455"/>
      <c r="O106" s="455"/>
      <c r="P106" s="455"/>
      <c r="Q106" s="455"/>
      <c r="R106" s="455"/>
    </row>
    <row r="107" spans="1:18" ht="17.25" customHeight="1">
      <c r="A107" s="790">
        <f t="shared" si="4"/>
        <v>102</v>
      </c>
      <c r="B107" s="161" t="s">
        <v>662</v>
      </c>
      <c r="C107" s="474">
        <v>42626</v>
      </c>
      <c r="D107" s="475" t="s">
        <v>752</v>
      </c>
      <c r="E107" s="534">
        <v>39.5</v>
      </c>
      <c r="F107" s="533">
        <v>32.299999999999997</v>
      </c>
      <c r="G107" s="533">
        <v>27.7</v>
      </c>
      <c r="H107" s="574">
        <f t="shared" si="13"/>
        <v>0.94</v>
      </c>
      <c r="I107" s="134">
        <f t="shared" si="15"/>
        <v>197.39999999999998</v>
      </c>
      <c r="J107" s="549">
        <v>210</v>
      </c>
      <c r="K107" s="134">
        <f t="shared" si="14"/>
        <v>7748.8399336635994</v>
      </c>
      <c r="L107" s="412">
        <v>9400</v>
      </c>
      <c r="M107" s="471"/>
      <c r="N107" s="455"/>
      <c r="O107" s="455"/>
      <c r="P107" s="455"/>
      <c r="Q107" s="455"/>
      <c r="R107" s="455"/>
    </row>
    <row r="108" spans="1:18" ht="17.25" customHeight="1">
      <c r="A108" s="790">
        <f t="shared" si="4"/>
        <v>103</v>
      </c>
      <c r="B108" s="161" t="s">
        <v>663</v>
      </c>
      <c r="C108" s="474">
        <v>42626</v>
      </c>
      <c r="D108" s="475" t="s">
        <v>752</v>
      </c>
      <c r="E108" s="534">
        <v>35</v>
      </c>
      <c r="F108" s="533">
        <v>35</v>
      </c>
      <c r="G108" s="533">
        <v>21</v>
      </c>
      <c r="H108" s="574">
        <f t="shared" si="13"/>
        <v>0.86</v>
      </c>
      <c r="I108" s="134">
        <f t="shared" si="15"/>
        <v>172</v>
      </c>
      <c r="J108" s="549">
        <v>200</v>
      </c>
      <c r="K108" s="134">
        <f t="shared" si="14"/>
        <v>7089.3641946283997</v>
      </c>
      <c r="L108" s="412">
        <v>9800</v>
      </c>
      <c r="M108" s="471"/>
      <c r="N108" s="455"/>
      <c r="O108" s="455"/>
      <c r="P108" s="455"/>
      <c r="Q108" s="455"/>
      <c r="R108" s="455"/>
    </row>
    <row r="109" spans="1:18" ht="17.25" customHeight="1">
      <c r="A109" s="790">
        <f t="shared" si="4"/>
        <v>104</v>
      </c>
      <c r="B109" s="161" t="s">
        <v>661</v>
      </c>
      <c r="C109" s="474">
        <v>42626</v>
      </c>
      <c r="D109" s="475" t="s">
        <v>752</v>
      </c>
      <c r="E109" s="534">
        <v>45</v>
      </c>
      <c r="F109" s="533">
        <v>35</v>
      </c>
      <c r="G109" s="533">
        <v>28</v>
      </c>
      <c r="H109" s="574">
        <f t="shared" si="13"/>
        <v>1.0900000000000001</v>
      </c>
      <c r="I109" s="134">
        <f t="shared" si="15"/>
        <v>186.39000000000001</v>
      </c>
      <c r="J109" s="549">
        <v>171</v>
      </c>
      <c r="K109" s="134">
        <f t="shared" si="14"/>
        <v>8985.3569443546003</v>
      </c>
      <c r="L109" s="412">
        <v>11250</v>
      </c>
      <c r="M109" s="471"/>
      <c r="N109" s="455"/>
      <c r="O109" s="455"/>
      <c r="P109" s="455"/>
      <c r="Q109" s="455"/>
      <c r="R109" s="455"/>
    </row>
    <row r="110" spans="1:18" ht="17.25" customHeight="1">
      <c r="A110" s="790">
        <f t="shared" si="4"/>
        <v>105</v>
      </c>
      <c r="B110" s="161" t="s">
        <v>815</v>
      </c>
      <c r="C110" s="474">
        <v>42627</v>
      </c>
      <c r="D110" s="475" t="s">
        <v>753</v>
      </c>
      <c r="E110" s="534">
        <v>29</v>
      </c>
      <c r="F110" s="533">
        <v>18</v>
      </c>
      <c r="G110" s="533">
        <v>18.8</v>
      </c>
      <c r="H110" s="574">
        <f t="shared" si="13"/>
        <v>0.39</v>
      </c>
      <c r="I110" s="134">
        <f t="shared" si="15"/>
        <v>936</v>
      </c>
      <c r="J110" s="549">
        <v>2400</v>
      </c>
      <c r="K110" s="134">
        <f t="shared" si="14"/>
        <v>3214.9442277966</v>
      </c>
      <c r="L110" s="412">
        <v>5200</v>
      </c>
      <c r="M110" s="471"/>
      <c r="N110" s="455"/>
      <c r="O110" s="455"/>
      <c r="P110" s="455"/>
      <c r="Q110" s="455"/>
      <c r="R110" s="455"/>
    </row>
    <row r="111" spans="1:18" ht="17.25" customHeight="1">
      <c r="A111" s="790">
        <f t="shared" si="4"/>
        <v>106</v>
      </c>
      <c r="B111" s="161" t="s">
        <v>816</v>
      </c>
      <c r="C111" s="474">
        <v>42627</v>
      </c>
      <c r="D111" s="475" t="s">
        <v>753</v>
      </c>
      <c r="E111" s="534">
        <v>42.5</v>
      </c>
      <c r="F111" s="533">
        <v>28.5</v>
      </c>
      <c r="G111" s="533">
        <v>23</v>
      </c>
      <c r="H111" s="574">
        <f t="shared" si="13"/>
        <v>0.8</v>
      </c>
      <c r="I111" s="134">
        <f t="shared" si="15"/>
        <v>400</v>
      </c>
      <c r="J111" s="549">
        <v>500</v>
      </c>
      <c r="K111" s="134">
        <f t="shared" si="14"/>
        <v>6594.7573903519997</v>
      </c>
      <c r="L111" s="412">
        <v>10200</v>
      </c>
      <c r="M111" s="471"/>
      <c r="N111" s="455"/>
      <c r="O111" s="455"/>
      <c r="P111" s="455"/>
      <c r="Q111" s="455"/>
      <c r="R111" s="455"/>
    </row>
    <row r="112" spans="1:18" ht="17.25" customHeight="1">
      <c r="A112" s="790">
        <f t="shared" si="4"/>
        <v>107</v>
      </c>
      <c r="B112" s="161" t="s">
        <v>518</v>
      </c>
      <c r="C112" s="474">
        <v>42628</v>
      </c>
      <c r="D112" s="475" t="s">
        <v>754</v>
      </c>
      <c r="E112" s="534">
        <v>52</v>
      </c>
      <c r="F112" s="533">
        <v>24.5</v>
      </c>
      <c r="G112" s="533">
        <v>24.5</v>
      </c>
      <c r="H112" s="574">
        <f t="shared" si="13"/>
        <v>0.82</v>
      </c>
      <c r="I112" s="134">
        <f t="shared" si="15"/>
        <v>1492.3999999999999</v>
      </c>
      <c r="J112" s="549">
        <v>1820</v>
      </c>
      <c r="K112" s="134">
        <f t="shared" si="14"/>
        <v>6759.6263251107994</v>
      </c>
      <c r="L112" s="412">
        <v>5000</v>
      </c>
      <c r="M112" s="471"/>
      <c r="N112" s="455"/>
      <c r="O112" s="455"/>
      <c r="P112" s="455"/>
      <c r="Q112" s="455"/>
      <c r="R112" s="455"/>
    </row>
    <row r="113" spans="1:18" ht="17.25" customHeight="1">
      <c r="A113" s="790">
        <f t="shared" si="4"/>
        <v>108</v>
      </c>
      <c r="B113" s="161" t="s">
        <v>544</v>
      </c>
      <c r="C113" s="474">
        <v>42628</v>
      </c>
      <c r="D113" s="475" t="s">
        <v>754</v>
      </c>
      <c r="E113" s="534">
        <v>52</v>
      </c>
      <c r="F113" s="533">
        <v>26.5</v>
      </c>
      <c r="G113" s="533">
        <v>26.5</v>
      </c>
      <c r="H113" s="574">
        <f t="shared" si="13"/>
        <v>0.91</v>
      </c>
      <c r="I113" s="134">
        <f t="shared" si="15"/>
        <v>564.20000000000005</v>
      </c>
      <c r="J113" s="549">
        <v>620</v>
      </c>
      <c r="K113" s="134">
        <f t="shared" si="14"/>
        <v>7501.5365315253994</v>
      </c>
      <c r="L113" s="412">
        <v>5550</v>
      </c>
      <c r="M113" s="471"/>
      <c r="N113" s="455"/>
      <c r="O113" s="455"/>
      <c r="P113" s="455"/>
      <c r="Q113" s="455"/>
      <c r="R113" s="455"/>
    </row>
    <row r="114" spans="1:18" ht="17.25" customHeight="1">
      <c r="A114" s="790">
        <f t="shared" si="4"/>
        <v>109</v>
      </c>
      <c r="B114" s="161" t="s">
        <v>545</v>
      </c>
      <c r="C114" s="474">
        <v>42628</v>
      </c>
      <c r="D114" s="475" t="s">
        <v>754</v>
      </c>
      <c r="E114" s="534">
        <v>52</v>
      </c>
      <c r="F114" s="533">
        <v>32</v>
      </c>
      <c r="G114" s="533">
        <v>12</v>
      </c>
      <c r="H114" s="574">
        <f t="shared" si="13"/>
        <v>0.81</v>
      </c>
      <c r="I114" s="134">
        <f t="shared" si="15"/>
        <v>246.24</v>
      </c>
      <c r="J114" s="549">
        <v>304</v>
      </c>
      <c r="K114" s="134">
        <f t="shared" si="14"/>
        <v>6677.1918577314</v>
      </c>
      <c r="L114" s="412">
        <v>5800</v>
      </c>
      <c r="M114" s="471"/>
      <c r="N114" s="455"/>
      <c r="O114" s="455"/>
      <c r="P114" s="455"/>
      <c r="Q114" s="455"/>
      <c r="R114" s="455"/>
    </row>
    <row r="115" spans="1:18" ht="17.25" customHeight="1">
      <c r="A115" s="790">
        <f t="shared" si="4"/>
        <v>110</v>
      </c>
      <c r="B115" s="161" t="s">
        <v>546</v>
      </c>
      <c r="C115" s="474">
        <v>42628</v>
      </c>
      <c r="D115" s="475" t="s">
        <v>754</v>
      </c>
      <c r="E115" s="534">
        <v>50</v>
      </c>
      <c r="F115" s="533">
        <v>25</v>
      </c>
      <c r="G115" s="533">
        <v>30</v>
      </c>
      <c r="H115" s="574">
        <f t="shared" si="13"/>
        <v>0.9</v>
      </c>
      <c r="I115" s="134">
        <f t="shared" si="15"/>
        <v>284.40000000000003</v>
      </c>
      <c r="J115" s="549">
        <v>316</v>
      </c>
      <c r="K115" s="134">
        <f t="shared" si="14"/>
        <v>7419.102064146</v>
      </c>
      <c r="L115" s="412">
        <v>5600</v>
      </c>
      <c r="M115" s="471"/>
      <c r="N115" s="455"/>
      <c r="O115" s="455"/>
      <c r="P115" s="455"/>
      <c r="Q115" s="455"/>
      <c r="R115" s="455"/>
    </row>
    <row r="116" spans="1:18" ht="17.25" customHeight="1">
      <c r="A116" s="790">
        <f t="shared" si="4"/>
        <v>111</v>
      </c>
      <c r="B116" s="161" t="s">
        <v>513</v>
      </c>
      <c r="C116" s="474">
        <v>42635</v>
      </c>
      <c r="D116" s="475" t="s">
        <v>755</v>
      </c>
      <c r="E116" s="534">
        <v>49</v>
      </c>
      <c r="F116" s="533">
        <v>38</v>
      </c>
      <c r="G116" s="533">
        <v>12</v>
      </c>
      <c r="H116" s="574">
        <f t="shared" si="13"/>
        <v>0.95</v>
      </c>
      <c r="I116" s="134">
        <f t="shared" si="15"/>
        <v>285</v>
      </c>
      <c r="J116" s="549">
        <v>300</v>
      </c>
      <c r="K116" s="134">
        <f t="shared" si="14"/>
        <v>7831.2744010429988</v>
      </c>
      <c r="L116" s="412">
        <v>10500</v>
      </c>
      <c r="M116" s="471"/>
      <c r="N116" s="455"/>
      <c r="O116" s="455"/>
      <c r="P116" s="455"/>
      <c r="Q116" s="455"/>
      <c r="R116" s="455"/>
    </row>
    <row r="117" spans="1:18" ht="17.25" customHeight="1">
      <c r="A117" s="790">
        <f t="shared" si="4"/>
        <v>112</v>
      </c>
      <c r="B117" s="161" t="s">
        <v>547</v>
      </c>
      <c r="C117" s="474">
        <v>42639</v>
      </c>
      <c r="D117" s="475" t="s">
        <v>756</v>
      </c>
      <c r="E117" s="534">
        <v>41.5</v>
      </c>
      <c r="F117" s="533">
        <v>24.5</v>
      </c>
      <c r="G117" s="533">
        <v>11.6</v>
      </c>
      <c r="H117" s="574">
        <f t="shared" si="13"/>
        <v>0.54</v>
      </c>
      <c r="I117" s="134">
        <f t="shared" si="15"/>
        <v>58.860000000000007</v>
      </c>
      <c r="J117" s="549">
        <v>109</v>
      </c>
      <c r="K117" s="134">
        <f t="shared" si="14"/>
        <v>4451.4612384876</v>
      </c>
      <c r="L117" s="412">
        <v>6400</v>
      </c>
      <c r="M117" s="471"/>
      <c r="N117" s="455"/>
      <c r="O117" s="455"/>
      <c r="P117" s="455"/>
      <c r="Q117" s="455"/>
      <c r="R117" s="455"/>
    </row>
    <row r="118" spans="1:18" ht="17.25" customHeight="1">
      <c r="A118" s="790">
        <f t="shared" si="4"/>
        <v>113</v>
      </c>
      <c r="B118" s="161" t="s">
        <v>548</v>
      </c>
      <c r="C118" s="474">
        <v>42639</v>
      </c>
      <c r="D118" s="475" t="s">
        <v>756</v>
      </c>
      <c r="E118" s="534">
        <v>46.5</v>
      </c>
      <c r="F118" s="533">
        <v>26.5</v>
      </c>
      <c r="G118" s="533">
        <v>11.5</v>
      </c>
      <c r="H118" s="574">
        <f t="shared" si="13"/>
        <v>0.62</v>
      </c>
      <c r="I118" s="134">
        <f t="shared" si="15"/>
        <v>63.24</v>
      </c>
      <c r="J118" s="549">
        <v>102</v>
      </c>
      <c r="K118" s="134">
        <f t="shared" ref="K118:K124" si="16">H118*$R$33</f>
        <v>5110.9369775227997</v>
      </c>
      <c r="L118" s="412">
        <v>7300</v>
      </c>
      <c r="M118" s="471"/>
      <c r="N118" s="455"/>
      <c r="O118" s="455"/>
      <c r="P118" s="455"/>
      <c r="Q118" s="455"/>
      <c r="R118" s="455"/>
    </row>
    <row r="119" spans="1:18" ht="17.25" customHeight="1">
      <c r="A119" s="790">
        <f t="shared" si="4"/>
        <v>114</v>
      </c>
      <c r="B119" s="161" t="s">
        <v>661</v>
      </c>
      <c r="C119" s="474">
        <v>42639</v>
      </c>
      <c r="D119" s="475" t="s">
        <v>756</v>
      </c>
      <c r="E119" s="534">
        <v>45</v>
      </c>
      <c r="F119" s="533">
        <v>35</v>
      </c>
      <c r="G119" s="533">
        <v>28</v>
      </c>
      <c r="H119" s="574">
        <f t="shared" si="13"/>
        <v>1.0900000000000001</v>
      </c>
      <c r="I119" s="134">
        <f t="shared" si="15"/>
        <v>61.040000000000006</v>
      </c>
      <c r="J119" s="549">
        <v>56</v>
      </c>
      <c r="K119" s="134">
        <f t="shared" si="16"/>
        <v>8985.3569443546003</v>
      </c>
      <c r="L119" s="412">
        <v>11250</v>
      </c>
      <c r="M119" s="471"/>
      <c r="N119" s="455"/>
      <c r="O119" s="455"/>
      <c r="P119" s="455"/>
      <c r="Q119" s="455"/>
      <c r="R119" s="455"/>
    </row>
    <row r="120" spans="1:18" ht="17.25" customHeight="1">
      <c r="A120" s="790">
        <f t="shared" si="4"/>
        <v>115</v>
      </c>
      <c r="B120" s="161" t="s">
        <v>498</v>
      </c>
      <c r="C120" s="474">
        <v>42640</v>
      </c>
      <c r="D120" s="475" t="s">
        <v>757</v>
      </c>
      <c r="E120" s="534">
        <v>47</v>
      </c>
      <c r="F120" s="533">
        <v>42</v>
      </c>
      <c r="G120" s="533">
        <v>25</v>
      </c>
      <c r="H120" s="574">
        <f t="shared" si="13"/>
        <v>1.28</v>
      </c>
      <c r="I120" s="134">
        <f t="shared" si="15"/>
        <v>682.24</v>
      </c>
      <c r="J120" s="549">
        <v>533</v>
      </c>
      <c r="K120" s="134">
        <f t="shared" si="16"/>
        <v>10551.611824563199</v>
      </c>
      <c r="L120" s="412">
        <v>9400</v>
      </c>
      <c r="M120" s="471"/>
      <c r="N120" s="455"/>
      <c r="O120" s="455"/>
      <c r="P120" s="455"/>
      <c r="Q120" s="455"/>
      <c r="R120" s="455"/>
    </row>
    <row r="121" spans="1:18" ht="17.25" customHeight="1">
      <c r="A121" s="790">
        <f t="shared" ref="A121:A124" si="17">IF(B121&lt;&gt;"",A120+1,"")</f>
        <v>116</v>
      </c>
      <c r="B121" s="161" t="s">
        <v>498</v>
      </c>
      <c r="C121" s="474">
        <v>42640</v>
      </c>
      <c r="D121" s="475" t="s">
        <v>758</v>
      </c>
      <c r="E121" s="534">
        <v>47</v>
      </c>
      <c r="F121" s="533">
        <v>42</v>
      </c>
      <c r="G121" s="533">
        <v>25</v>
      </c>
      <c r="H121" s="574">
        <f t="shared" si="13"/>
        <v>1.28</v>
      </c>
      <c r="I121" s="134">
        <f t="shared" si="15"/>
        <v>199.68</v>
      </c>
      <c r="J121" s="549">
        <v>156</v>
      </c>
      <c r="K121" s="134">
        <f t="shared" si="16"/>
        <v>10551.611824563199</v>
      </c>
      <c r="L121" s="412">
        <v>9400</v>
      </c>
      <c r="M121" s="471"/>
      <c r="N121" s="455"/>
      <c r="O121" s="455"/>
      <c r="P121" s="455"/>
      <c r="Q121" s="455"/>
      <c r="R121" s="455"/>
    </row>
    <row r="122" spans="1:18" ht="17.25" customHeight="1">
      <c r="A122" s="790">
        <f t="shared" si="17"/>
        <v>117</v>
      </c>
      <c r="B122" s="161" t="s">
        <v>652</v>
      </c>
      <c r="C122" s="474">
        <v>42640</v>
      </c>
      <c r="D122" s="475" t="s">
        <v>758</v>
      </c>
      <c r="E122" s="534">
        <v>47</v>
      </c>
      <c r="F122" s="533">
        <v>42</v>
      </c>
      <c r="G122" s="533">
        <v>13.5</v>
      </c>
      <c r="H122" s="574">
        <f t="shared" si="13"/>
        <v>1.07</v>
      </c>
      <c r="I122" s="134">
        <f t="shared" si="15"/>
        <v>2696.4</v>
      </c>
      <c r="J122" s="549">
        <v>2520</v>
      </c>
      <c r="K122" s="134">
        <f t="shared" si="16"/>
        <v>8820.4880095957997</v>
      </c>
      <c r="L122" s="412">
        <v>7900</v>
      </c>
      <c r="M122" s="471"/>
      <c r="N122" s="455"/>
      <c r="O122" s="455"/>
      <c r="P122" s="455"/>
      <c r="Q122" s="455"/>
      <c r="R122" s="455"/>
    </row>
    <row r="123" spans="1:18" ht="17.25" customHeight="1">
      <c r="A123" s="790">
        <f t="shared" si="17"/>
        <v>118</v>
      </c>
      <c r="B123" s="161" t="s">
        <v>653</v>
      </c>
      <c r="C123" s="474">
        <v>42640</v>
      </c>
      <c r="D123" s="475" t="s">
        <v>758</v>
      </c>
      <c r="E123" s="534">
        <v>63</v>
      </c>
      <c r="F123" s="533">
        <v>42</v>
      </c>
      <c r="G123" s="533">
        <v>27</v>
      </c>
      <c r="H123" s="574">
        <f t="shared" si="13"/>
        <v>1.55</v>
      </c>
      <c r="I123" s="134">
        <f t="shared" si="15"/>
        <v>68.2</v>
      </c>
      <c r="J123" s="549">
        <v>44</v>
      </c>
      <c r="K123" s="134">
        <f t="shared" si="16"/>
        <v>12777.342443807</v>
      </c>
      <c r="L123" s="412">
        <v>17600</v>
      </c>
      <c r="M123" s="471"/>
      <c r="N123" s="455"/>
      <c r="O123" s="455"/>
      <c r="P123" s="455"/>
      <c r="Q123" s="455"/>
      <c r="R123" s="455"/>
    </row>
    <row r="124" spans="1:18" ht="17.25" customHeight="1">
      <c r="A124" s="790">
        <f t="shared" si="17"/>
        <v>119</v>
      </c>
      <c r="B124" s="161" t="s">
        <v>509</v>
      </c>
      <c r="C124" s="474">
        <v>42641</v>
      </c>
      <c r="D124" s="475" t="s">
        <v>429</v>
      </c>
      <c r="E124" s="534">
        <v>49.5</v>
      </c>
      <c r="F124" s="533">
        <v>38.5</v>
      </c>
      <c r="G124" s="533">
        <v>32.5</v>
      </c>
      <c r="H124" s="574">
        <f t="shared" si="13"/>
        <v>1.34</v>
      </c>
      <c r="I124" s="134">
        <f t="shared" si="15"/>
        <v>282.74</v>
      </c>
      <c r="J124" s="549">
        <v>211</v>
      </c>
      <c r="K124" s="134">
        <f t="shared" si="16"/>
        <v>11046.218628839601</v>
      </c>
      <c r="L124" s="412">
        <v>12900</v>
      </c>
      <c r="M124" s="471"/>
      <c r="N124" s="455"/>
      <c r="O124" s="455"/>
      <c r="P124" s="455"/>
      <c r="Q124" s="455"/>
      <c r="R124" s="455"/>
    </row>
    <row r="125" spans="1:18" ht="17.25" customHeight="1">
      <c r="A125" s="790"/>
      <c r="B125" s="161"/>
      <c r="C125" s="524"/>
      <c r="D125" s="476"/>
      <c r="E125" s="534"/>
      <c r="F125" s="533"/>
      <c r="G125" s="533"/>
      <c r="H125" s="459"/>
      <c r="I125" s="459"/>
      <c r="J125" s="134"/>
      <c r="K125" s="459"/>
      <c r="L125" s="412"/>
      <c r="M125" s="412"/>
      <c r="N125" s="477"/>
      <c r="O125" s="477"/>
      <c r="P125" s="477"/>
      <c r="Q125" s="477"/>
      <c r="R125" s="477"/>
    </row>
    <row r="126" spans="1:18" ht="17.25" customHeight="1">
      <c r="A126" s="460"/>
      <c r="B126" s="460" t="s">
        <v>235</v>
      </c>
      <c r="C126" s="478"/>
      <c r="D126" s="479"/>
      <c r="E126" s="527"/>
      <c r="F126" s="527"/>
      <c r="G126" s="527"/>
      <c r="H126" s="530">
        <f>ROUND(SUM(H6:H125),2)</f>
        <v>172.23</v>
      </c>
      <c r="I126" s="346">
        <f>ROUND(SUM(I6:I125),2)</f>
        <v>62143.86</v>
      </c>
      <c r="J126" s="346">
        <f>ROUND(SUM(J6:J125),2)</f>
        <v>65710</v>
      </c>
      <c r="K126" s="346"/>
      <c r="L126" s="467"/>
      <c r="M126" s="467"/>
      <c r="N126" s="456"/>
      <c r="O126" s="456"/>
      <c r="P126" s="456"/>
      <c r="Q126" s="456"/>
      <c r="R126" s="582"/>
    </row>
    <row r="127" spans="1:18">
      <c r="A127" s="461"/>
      <c r="B127" s="461"/>
      <c r="C127" s="480"/>
      <c r="D127" s="481"/>
      <c r="E127" s="531"/>
      <c r="F127" s="531"/>
      <c r="G127" s="531"/>
      <c r="H127" s="457"/>
      <c r="I127" s="457"/>
      <c r="J127" s="457"/>
      <c r="K127" s="457"/>
      <c r="L127" s="467"/>
      <c r="M127" s="467"/>
      <c r="N127" s="456"/>
      <c r="O127" s="456"/>
      <c r="P127" s="456"/>
      <c r="Q127" s="456"/>
      <c r="R127" s="456"/>
    </row>
    <row r="128" spans="1:18">
      <c r="A128" s="465"/>
      <c r="B128" s="455"/>
      <c r="C128" s="480"/>
      <c r="D128" s="481"/>
      <c r="E128" s="535"/>
      <c r="F128" s="535"/>
      <c r="G128" s="536"/>
      <c r="H128" s="463"/>
      <c r="I128" s="457"/>
      <c r="J128" s="457"/>
      <c r="K128" s="455"/>
      <c r="L128" s="467"/>
      <c r="M128" s="464"/>
      <c r="N128" s="455"/>
      <c r="O128" s="455"/>
      <c r="P128" s="455"/>
      <c r="Q128" s="455"/>
      <c r="R128" s="455"/>
    </row>
    <row r="129" spans="1:18" ht="18" customHeight="1">
      <c r="A129" s="791" t="str">
        <f>TH!$A$1</f>
        <v>Đơn vị: CÔNG TY TNHH BAO BÌ GIẤY KIM DUNG PHÁT</v>
      </c>
      <c r="B129" s="456"/>
      <c r="C129" s="480"/>
      <c r="D129" s="481"/>
      <c r="E129" s="492"/>
      <c r="F129" s="492"/>
      <c r="G129" s="492"/>
      <c r="H129" s="159"/>
      <c r="I129" s="400"/>
      <c r="J129" s="400"/>
      <c r="K129" s="159"/>
      <c r="L129" s="467"/>
      <c r="M129" s="467"/>
      <c r="N129" s="462"/>
      <c r="O129" s="455"/>
      <c r="P129" s="455"/>
      <c r="Q129" s="455"/>
      <c r="R129" s="455"/>
    </row>
    <row r="130" spans="1:18" ht="18.75" customHeight="1">
      <c r="A130" s="458" t="s">
        <v>412</v>
      </c>
      <c r="B130" s="457"/>
      <c r="C130" s="480"/>
      <c r="D130" s="481"/>
      <c r="E130" s="531"/>
      <c r="F130" s="531"/>
      <c r="G130" s="531"/>
      <c r="H130" s="457"/>
      <c r="I130" s="457"/>
      <c r="J130" s="457"/>
      <c r="K130" s="457"/>
      <c r="L130" s="467"/>
      <c r="M130" s="467"/>
      <c r="N130" s="455"/>
      <c r="O130" s="455"/>
      <c r="P130" s="455"/>
      <c r="Q130" s="455"/>
      <c r="R130" s="455"/>
    </row>
    <row r="131" spans="1:18" ht="18.75" customHeight="1">
      <c r="A131" s="458"/>
      <c r="B131" s="458"/>
      <c r="C131" s="480"/>
      <c r="D131" s="481"/>
      <c r="E131" s="528"/>
      <c r="F131" s="528"/>
      <c r="G131" s="528"/>
      <c r="H131" s="458"/>
      <c r="I131" s="468"/>
      <c r="J131" s="468"/>
      <c r="K131" s="458"/>
      <c r="L131" s="467"/>
      <c r="M131" s="467"/>
      <c r="N131" s="455"/>
      <c r="O131" s="455"/>
      <c r="P131" s="455"/>
      <c r="Q131" s="455"/>
      <c r="R131" s="455"/>
    </row>
    <row r="132" spans="1:18" ht="21" customHeight="1">
      <c r="A132" s="937" t="s">
        <v>34</v>
      </c>
      <c r="B132" s="937" t="s">
        <v>231</v>
      </c>
      <c r="C132" s="937" t="s">
        <v>383</v>
      </c>
      <c r="D132" s="937" t="s">
        <v>384</v>
      </c>
      <c r="E132" s="942" t="s">
        <v>385</v>
      </c>
      <c r="F132" s="943"/>
      <c r="G132" s="943"/>
      <c r="H132" s="944"/>
      <c r="I132" s="945" t="s">
        <v>395</v>
      </c>
      <c r="J132" s="937" t="s">
        <v>232</v>
      </c>
      <c r="K132" s="937" t="s">
        <v>389</v>
      </c>
      <c r="L132" s="275"/>
      <c r="M132" s="275"/>
      <c r="N132" s="937" t="s">
        <v>231</v>
      </c>
      <c r="O132" s="937" t="s">
        <v>390</v>
      </c>
      <c r="P132" s="937" t="s">
        <v>190</v>
      </c>
      <c r="Q132" s="937" t="s">
        <v>233</v>
      </c>
      <c r="R132" s="937" t="s">
        <v>234</v>
      </c>
    </row>
    <row r="133" spans="1:18" ht="21" customHeight="1">
      <c r="A133" s="937"/>
      <c r="B133" s="937"/>
      <c r="C133" s="937"/>
      <c r="D133" s="937"/>
      <c r="E133" s="494" t="s">
        <v>386</v>
      </c>
      <c r="F133" s="494" t="s">
        <v>387</v>
      </c>
      <c r="G133" s="494" t="s">
        <v>388</v>
      </c>
      <c r="H133" s="274" t="s">
        <v>393</v>
      </c>
      <c r="I133" s="946"/>
      <c r="J133" s="937"/>
      <c r="K133" s="937"/>
      <c r="L133" s="275"/>
      <c r="M133" s="275"/>
      <c r="N133" s="937"/>
      <c r="O133" s="937"/>
      <c r="P133" s="937"/>
      <c r="Q133" s="937"/>
      <c r="R133" s="937"/>
    </row>
    <row r="134" spans="1:18" ht="16.5" customHeight="1">
      <c r="A134" s="792">
        <f t="shared" ref="A134:A143" si="18">IF(B134&lt;&gt;"",ROW()-133,"")</f>
        <v>1</v>
      </c>
      <c r="B134" s="161" t="s">
        <v>800</v>
      </c>
      <c r="C134" s="472">
        <v>42647</v>
      </c>
      <c r="D134" s="473" t="s">
        <v>799</v>
      </c>
      <c r="E134" s="537">
        <v>40</v>
      </c>
      <c r="F134" s="538">
        <v>30</v>
      </c>
      <c r="G134" s="538">
        <v>18.5</v>
      </c>
      <c r="H134" s="574">
        <f t="shared" ref="H134:H143" si="19">IF(G134&lt;&gt;"",ROUND(((E134+F134)*2+5)*(F134+G134+3)/10000,2),ROUND(E134*F134/10000,2))</f>
        <v>0.75</v>
      </c>
      <c r="I134" s="134">
        <f t="shared" ref="I134:I165" si="20">H134*J134</f>
        <v>317.25</v>
      </c>
      <c r="J134" s="549">
        <v>423</v>
      </c>
      <c r="K134" s="134">
        <f t="shared" ref="K134:K165" si="21">H134*$R$170</f>
        <v>5706.4898215078556</v>
      </c>
      <c r="L134" s="412">
        <v>8800</v>
      </c>
      <c r="M134" s="412"/>
      <c r="N134" s="109" t="s">
        <v>403</v>
      </c>
      <c r="O134" s="474">
        <v>42563</v>
      </c>
      <c r="P134" s="133">
        <v>11536</v>
      </c>
      <c r="Q134" s="133">
        <v>7600</v>
      </c>
      <c r="R134" s="5">
        <f t="shared" ref="R134:R144" si="22">ROUND(P134*Q134,0)</f>
        <v>87673600</v>
      </c>
    </row>
    <row r="135" spans="1:18" ht="16.5" customHeight="1">
      <c r="A135" s="792">
        <f t="shared" si="18"/>
        <v>2</v>
      </c>
      <c r="B135" s="161" t="s">
        <v>802</v>
      </c>
      <c r="C135" s="472">
        <v>42647</v>
      </c>
      <c r="D135" s="473" t="s">
        <v>801</v>
      </c>
      <c r="E135" s="537">
        <v>48</v>
      </c>
      <c r="F135" s="538">
        <v>23</v>
      </c>
      <c r="G135" s="538">
        <v>22</v>
      </c>
      <c r="H135" s="574">
        <f t="shared" si="19"/>
        <v>0.71</v>
      </c>
      <c r="I135" s="134">
        <f t="shared" si="20"/>
        <v>669.53</v>
      </c>
      <c r="J135" s="549">
        <v>943</v>
      </c>
      <c r="K135" s="134">
        <f t="shared" si="21"/>
        <v>5402.1436976941031</v>
      </c>
      <c r="L135" s="412">
        <v>7135</v>
      </c>
      <c r="M135" s="412"/>
      <c r="N135" s="109" t="s">
        <v>447</v>
      </c>
      <c r="O135" s="110">
        <v>42563</v>
      </c>
      <c r="P135" s="133">
        <v>5979</v>
      </c>
      <c r="Q135" s="133">
        <v>8900</v>
      </c>
      <c r="R135" s="5">
        <f t="shared" si="22"/>
        <v>53213100</v>
      </c>
    </row>
    <row r="136" spans="1:18" ht="16.5" customHeight="1">
      <c r="A136" s="792">
        <f t="shared" si="18"/>
        <v>3</v>
      </c>
      <c r="B136" s="161" t="s">
        <v>803</v>
      </c>
      <c r="C136" s="472">
        <v>42647</v>
      </c>
      <c r="D136" s="473" t="s">
        <v>801</v>
      </c>
      <c r="E136" s="537">
        <v>49</v>
      </c>
      <c r="F136" s="497">
        <v>23.5</v>
      </c>
      <c r="G136" s="497">
        <v>30.5</v>
      </c>
      <c r="H136" s="574">
        <f t="shared" si="19"/>
        <v>0.86</v>
      </c>
      <c r="I136" s="134">
        <f t="shared" si="20"/>
        <v>232.2</v>
      </c>
      <c r="J136" s="549">
        <v>270</v>
      </c>
      <c r="K136" s="134">
        <f t="shared" si="21"/>
        <v>6543.4416619956746</v>
      </c>
      <c r="L136" s="412">
        <v>8719</v>
      </c>
      <c r="M136" s="412"/>
      <c r="N136" s="109" t="s">
        <v>448</v>
      </c>
      <c r="O136" s="110">
        <v>42563</v>
      </c>
      <c r="P136" s="133">
        <v>4011</v>
      </c>
      <c r="Q136" s="133">
        <v>8500</v>
      </c>
      <c r="R136" s="5">
        <f t="shared" si="22"/>
        <v>34093500</v>
      </c>
    </row>
    <row r="137" spans="1:18" ht="16.5" customHeight="1">
      <c r="A137" s="792">
        <f t="shared" si="18"/>
        <v>4</v>
      </c>
      <c r="B137" s="161" t="s">
        <v>805</v>
      </c>
      <c r="C137" s="472">
        <v>42648</v>
      </c>
      <c r="D137" s="473" t="s">
        <v>804</v>
      </c>
      <c r="E137" s="537">
        <v>39.5</v>
      </c>
      <c r="F137" s="538">
        <v>32.299999999999997</v>
      </c>
      <c r="G137" s="538">
        <v>27</v>
      </c>
      <c r="H137" s="574">
        <f t="shared" si="19"/>
        <v>0.93</v>
      </c>
      <c r="I137" s="134">
        <f t="shared" si="20"/>
        <v>283.65000000000003</v>
      </c>
      <c r="J137" s="549">
        <v>305</v>
      </c>
      <c r="K137" s="134">
        <f t="shared" si="21"/>
        <v>7076.0473786697412</v>
      </c>
      <c r="L137" s="412">
        <v>9400</v>
      </c>
      <c r="M137" s="412"/>
      <c r="N137" s="109" t="s">
        <v>403</v>
      </c>
      <c r="O137" s="110">
        <v>42580</v>
      </c>
      <c r="P137" s="133">
        <v>7756</v>
      </c>
      <c r="Q137" s="133">
        <v>7600</v>
      </c>
      <c r="R137" s="5">
        <f t="shared" si="22"/>
        <v>58945600</v>
      </c>
    </row>
    <row r="138" spans="1:18" ht="16.5" customHeight="1">
      <c r="A138" s="792">
        <f t="shared" si="18"/>
        <v>5</v>
      </c>
      <c r="B138" s="161" t="s">
        <v>806</v>
      </c>
      <c r="C138" s="472">
        <v>42648</v>
      </c>
      <c r="D138" s="473" t="s">
        <v>804</v>
      </c>
      <c r="E138" s="537">
        <v>32</v>
      </c>
      <c r="F138" s="538">
        <v>31</v>
      </c>
      <c r="G138" s="538">
        <v>35</v>
      </c>
      <c r="H138" s="574">
        <f t="shared" si="19"/>
        <v>0.9</v>
      </c>
      <c r="I138" s="134">
        <f t="shared" si="20"/>
        <v>49.5</v>
      </c>
      <c r="J138" s="549">
        <v>55</v>
      </c>
      <c r="K138" s="134">
        <f t="shared" si="21"/>
        <v>6847.7877858094271</v>
      </c>
      <c r="L138" s="412">
        <v>12000</v>
      </c>
      <c r="M138" s="412"/>
      <c r="N138" s="109" t="s">
        <v>447</v>
      </c>
      <c r="O138" s="110">
        <v>42580</v>
      </c>
      <c r="P138" s="133">
        <f>4223-1383</f>
        <v>2840</v>
      </c>
      <c r="Q138" s="133">
        <v>8900</v>
      </c>
      <c r="R138" s="5">
        <f t="shared" si="22"/>
        <v>25276000</v>
      </c>
    </row>
    <row r="139" spans="1:18" ht="16.5" customHeight="1">
      <c r="A139" s="792">
        <f t="shared" si="18"/>
        <v>6</v>
      </c>
      <c r="B139" s="161" t="s">
        <v>807</v>
      </c>
      <c r="C139" s="472">
        <v>42648</v>
      </c>
      <c r="D139" s="473" t="s">
        <v>804</v>
      </c>
      <c r="E139" s="537">
        <v>29.5</v>
      </c>
      <c r="F139" s="538">
        <v>15</v>
      </c>
      <c r="G139" s="538">
        <v>15.5</v>
      </c>
      <c r="H139" s="574">
        <f t="shared" si="19"/>
        <v>0.31</v>
      </c>
      <c r="I139" s="134">
        <f t="shared" si="20"/>
        <v>63.55</v>
      </c>
      <c r="J139" s="549">
        <v>205</v>
      </c>
      <c r="K139" s="134">
        <f t="shared" si="21"/>
        <v>2358.6824595565804</v>
      </c>
      <c r="L139" s="412">
        <v>3200</v>
      </c>
      <c r="M139" s="412"/>
      <c r="N139" s="109" t="s">
        <v>448</v>
      </c>
      <c r="O139" s="110">
        <v>42580</v>
      </c>
      <c r="P139" s="133">
        <v>6881</v>
      </c>
      <c r="Q139" s="133">
        <v>8500</v>
      </c>
      <c r="R139" s="5">
        <f t="shared" si="22"/>
        <v>58488500</v>
      </c>
    </row>
    <row r="140" spans="1:18" ht="16.5" customHeight="1">
      <c r="A140" s="792">
        <f t="shared" si="18"/>
        <v>7</v>
      </c>
      <c r="B140" s="161" t="s">
        <v>518</v>
      </c>
      <c r="C140" s="472">
        <v>42648</v>
      </c>
      <c r="D140" s="473" t="s">
        <v>808</v>
      </c>
      <c r="E140" s="537">
        <v>52</v>
      </c>
      <c r="F140" s="538">
        <v>24.5</v>
      </c>
      <c r="G140" s="538">
        <v>24.5</v>
      </c>
      <c r="H140" s="574">
        <f t="shared" si="19"/>
        <v>0.82</v>
      </c>
      <c r="I140" s="134">
        <f t="shared" si="20"/>
        <v>262.39999999999998</v>
      </c>
      <c r="J140" s="549">
        <v>320</v>
      </c>
      <c r="K140" s="134">
        <f t="shared" si="21"/>
        <v>6239.0955381819222</v>
      </c>
      <c r="L140" s="412">
        <v>5000</v>
      </c>
      <c r="M140" s="412"/>
      <c r="N140" s="109" t="s">
        <v>781</v>
      </c>
      <c r="O140" s="110">
        <v>42660</v>
      </c>
      <c r="P140" s="133">
        <v>8032</v>
      </c>
      <c r="Q140" s="133">
        <v>7800</v>
      </c>
      <c r="R140" s="5">
        <f t="shared" si="22"/>
        <v>62649600</v>
      </c>
    </row>
    <row r="141" spans="1:18" ht="16.5" customHeight="1">
      <c r="A141" s="792">
        <f t="shared" si="18"/>
        <v>8</v>
      </c>
      <c r="B141" s="161" t="s">
        <v>520</v>
      </c>
      <c r="C141" s="472">
        <v>42648</v>
      </c>
      <c r="D141" s="473" t="s">
        <v>808</v>
      </c>
      <c r="E141" s="537">
        <v>55</v>
      </c>
      <c r="F141" s="538">
        <v>45</v>
      </c>
      <c r="G141" s="538">
        <v>29</v>
      </c>
      <c r="H141" s="574">
        <f t="shared" si="19"/>
        <v>1.58</v>
      </c>
      <c r="I141" s="134">
        <f t="shared" si="20"/>
        <v>1041.22</v>
      </c>
      <c r="J141" s="549">
        <v>659</v>
      </c>
      <c r="K141" s="134">
        <f t="shared" si="21"/>
        <v>12021.671890643216</v>
      </c>
      <c r="L141" s="412">
        <v>9700</v>
      </c>
      <c r="M141" s="412"/>
      <c r="N141" s="109" t="s">
        <v>781</v>
      </c>
      <c r="O141" s="110">
        <v>42660</v>
      </c>
      <c r="P141" s="133">
        <v>7448</v>
      </c>
      <c r="Q141" s="133">
        <v>8200</v>
      </c>
      <c r="R141" s="5">
        <f t="shared" si="22"/>
        <v>61073600</v>
      </c>
    </row>
    <row r="142" spans="1:18" ht="16.5" customHeight="1">
      <c r="A142" s="792">
        <f t="shared" si="18"/>
        <v>9</v>
      </c>
      <c r="B142" s="161" t="s">
        <v>524</v>
      </c>
      <c r="C142" s="472">
        <v>42649</v>
      </c>
      <c r="D142" s="473" t="s">
        <v>434</v>
      </c>
      <c r="E142" s="537">
        <v>62</v>
      </c>
      <c r="F142" s="538">
        <v>42.5</v>
      </c>
      <c r="G142" s="538">
        <v>42.5</v>
      </c>
      <c r="H142" s="574">
        <f t="shared" si="19"/>
        <v>1.88</v>
      </c>
      <c r="I142" s="134">
        <f t="shared" si="20"/>
        <v>752</v>
      </c>
      <c r="J142" s="549">
        <v>400</v>
      </c>
      <c r="K142" s="134">
        <f t="shared" si="21"/>
        <v>14304.267819246357</v>
      </c>
      <c r="L142" s="412">
        <v>20000</v>
      </c>
      <c r="M142" s="412"/>
      <c r="N142" s="109" t="s">
        <v>781</v>
      </c>
      <c r="O142" s="110">
        <v>42660</v>
      </c>
      <c r="P142" s="133">
        <v>2161</v>
      </c>
      <c r="Q142" s="133">
        <v>8200</v>
      </c>
      <c r="R142" s="5">
        <f t="shared" si="22"/>
        <v>17720200</v>
      </c>
    </row>
    <row r="143" spans="1:18" ht="16.5" customHeight="1">
      <c r="A143" s="792">
        <f t="shared" si="18"/>
        <v>10</v>
      </c>
      <c r="B143" s="161" t="s">
        <v>672</v>
      </c>
      <c r="C143" s="472">
        <v>42660</v>
      </c>
      <c r="D143" s="473" t="s">
        <v>759</v>
      </c>
      <c r="E143" s="537">
        <v>48</v>
      </c>
      <c r="F143" s="538">
        <v>37</v>
      </c>
      <c r="G143" s="538">
        <v>29</v>
      </c>
      <c r="H143" s="574">
        <f t="shared" si="19"/>
        <v>1.21</v>
      </c>
      <c r="I143" s="134">
        <f t="shared" si="20"/>
        <v>2178</v>
      </c>
      <c r="J143" s="549">
        <v>1800</v>
      </c>
      <c r="K143" s="134">
        <f t="shared" si="21"/>
        <v>9206.4702453660066</v>
      </c>
      <c r="L143" s="412">
        <v>9100</v>
      </c>
      <c r="M143" s="412"/>
      <c r="N143" s="109" t="s">
        <v>781</v>
      </c>
      <c r="O143" s="110">
        <v>42662</v>
      </c>
      <c r="P143" s="133">
        <v>6632</v>
      </c>
      <c r="Q143" s="133">
        <v>8200</v>
      </c>
      <c r="R143" s="5">
        <f t="shared" si="22"/>
        <v>54382400</v>
      </c>
    </row>
    <row r="144" spans="1:18" ht="16.5" customHeight="1">
      <c r="A144" s="792">
        <f t="shared" ref="A144:A207" si="23">IF(B144&lt;&gt;"",ROW()-133,"")</f>
        <v>11</v>
      </c>
      <c r="B144" s="161" t="s">
        <v>671</v>
      </c>
      <c r="C144" s="472">
        <v>42660</v>
      </c>
      <c r="D144" s="473" t="s">
        <v>759</v>
      </c>
      <c r="E144" s="537">
        <v>43</v>
      </c>
      <c r="F144" s="538">
        <v>33</v>
      </c>
      <c r="G144" s="538">
        <v>33</v>
      </c>
      <c r="H144" s="574">
        <f t="shared" ref="H144:H257" si="24">IF(G144&lt;&gt;"",ROUND(((E144+F144)*2+5)*(F144+G144+3)/10000,2),ROUND(E144*F144/10000,2))</f>
        <v>1.08</v>
      </c>
      <c r="I144" s="134">
        <f t="shared" si="20"/>
        <v>28.080000000000002</v>
      </c>
      <c r="J144" s="549">
        <v>26</v>
      </c>
      <c r="K144" s="134">
        <f t="shared" si="21"/>
        <v>8217.3453429713136</v>
      </c>
      <c r="L144" s="412">
        <v>13000</v>
      </c>
      <c r="M144" s="412"/>
      <c r="N144" s="109" t="s">
        <v>877</v>
      </c>
      <c r="O144" s="110">
        <v>42674</v>
      </c>
      <c r="P144" s="133">
        <v>28000</v>
      </c>
      <c r="Q144" s="133">
        <v>8400</v>
      </c>
      <c r="R144" s="5">
        <f t="shared" si="22"/>
        <v>235200000</v>
      </c>
    </row>
    <row r="145" spans="1:18" ht="16.5" customHeight="1">
      <c r="A145" s="792">
        <f t="shared" si="23"/>
        <v>12</v>
      </c>
      <c r="B145" s="161" t="s">
        <v>665</v>
      </c>
      <c r="C145" s="472">
        <v>42662</v>
      </c>
      <c r="D145" s="473" t="s">
        <v>760</v>
      </c>
      <c r="E145" s="537">
        <v>110</v>
      </c>
      <c r="F145" s="538">
        <v>70</v>
      </c>
      <c r="G145" s="538"/>
      <c r="H145" s="574">
        <f t="shared" si="24"/>
        <v>0.77</v>
      </c>
      <c r="I145" s="134">
        <f t="shared" si="20"/>
        <v>400.40000000000003</v>
      </c>
      <c r="J145" s="549">
        <v>520</v>
      </c>
      <c r="K145" s="134">
        <f t="shared" si="21"/>
        <v>5858.6628834147323</v>
      </c>
      <c r="L145" s="412">
        <v>3311</v>
      </c>
      <c r="M145" s="412"/>
      <c r="N145" s="277"/>
      <c r="O145" s="472"/>
      <c r="P145" s="495"/>
      <c r="Q145" s="488"/>
      <c r="R145" s="5"/>
    </row>
    <row r="146" spans="1:18" ht="16.5" customHeight="1">
      <c r="A146" s="792">
        <f t="shared" si="23"/>
        <v>13</v>
      </c>
      <c r="B146" s="161" t="s">
        <v>524</v>
      </c>
      <c r="C146" s="472">
        <v>42662</v>
      </c>
      <c r="D146" s="473" t="s">
        <v>760</v>
      </c>
      <c r="E146" s="537">
        <v>62</v>
      </c>
      <c r="F146" s="538">
        <v>42.5</v>
      </c>
      <c r="G146" s="538">
        <v>42.5</v>
      </c>
      <c r="H146" s="574">
        <f t="shared" si="24"/>
        <v>1.88</v>
      </c>
      <c r="I146" s="134">
        <f t="shared" si="20"/>
        <v>188</v>
      </c>
      <c r="J146" s="549">
        <v>100</v>
      </c>
      <c r="K146" s="134">
        <f t="shared" si="21"/>
        <v>14304.267819246357</v>
      </c>
      <c r="L146" s="412">
        <v>20000</v>
      </c>
      <c r="M146" s="412"/>
      <c r="N146" s="525" t="s">
        <v>377</v>
      </c>
      <c r="O146" s="526"/>
      <c r="P146" s="527"/>
      <c r="Q146" s="346"/>
      <c r="R146" s="346">
        <f>SUM(R134:R145)</f>
        <v>748716100</v>
      </c>
    </row>
    <row r="147" spans="1:18" ht="16.5" customHeight="1">
      <c r="A147" s="792">
        <f t="shared" si="23"/>
        <v>14</v>
      </c>
      <c r="B147" s="161" t="s">
        <v>666</v>
      </c>
      <c r="C147" s="472">
        <v>42672</v>
      </c>
      <c r="D147" s="473" t="s">
        <v>761</v>
      </c>
      <c r="E147" s="537">
        <v>52</v>
      </c>
      <c r="F147" s="538">
        <v>41</v>
      </c>
      <c r="G147" s="538">
        <v>27</v>
      </c>
      <c r="H147" s="574">
        <f t="shared" si="24"/>
        <v>1.36</v>
      </c>
      <c r="I147" s="134">
        <f t="shared" si="20"/>
        <v>48.96</v>
      </c>
      <c r="J147" s="549">
        <v>36</v>
      </c>
      <c r="K147" s="134">
        <f t="shared" si="21"/>
        <v>10347.76820966758</v>
      </c>
      <c r="L147" s="412">
        <v>15400</v>
      </c>
      <c r="M147" s="412"/>
      <c r="N147" s="277" t="s">
        <v>775</v>
      </c>
      <c r="O147" s="472">
        <v>42652</v>
      </c>
      <c r="P147" s="495">
        <v>13490</v>
      </c>
      <c r="Q147" s="488">
        <v>750</v>
      </c>
      <c r="R147" s="5">
        <f t="shared" ref="R147:R157" si="25">ROUND(P147*Q147,0)</f>
        <v>10117500</v>
      </c>
    </row>
    <row r="148" spans="1:18" ht="16.5" customHeight="1">
      <c r="A148" s="792">
        <f t="shared" si="23"/>
        <v>15</v>
      </c>
      <c r="B148" s="161" t="s">
        <v>653</v>
      </c>
      <c r="C148" s="472">
        <v>42672</v>
      </c>
      <c r="D148" s="473" t="s">
        <v>761</v>
      </c>
      <c r="E148" s="537">
        <v>63</v>
      </c>
      <c r="F148" s="538">
        <v>42</v>
      </c>
      <c r="G148" s="538">
        <v>27</v>
      </c>
      <c r="H148" s="574">
        <f t="shared" si="24"/>
        <v>1.55</v>
      </c>
      <c r="I148" s="134">
        <f t="shared" si="20"/>
        <v>170.5</v>
      </c>
      <c r="J148" s="549">
        <v>110</v>
      </c>
      <c r="K148" s="134">
        <f t="shared" si="21"/>
        <v>11793.412297782903</v>
      </c>
      <c r="L148" s="412">
        <v>17500</v>
      </c>
      <c r="M148" s="412"/>
      <c r="N148" s="277" t="s">
        <v>775</v>
      </c>
      <c r="O148" s="472">
        <v>42657</v>
      </c>
      <c r="P148" s="495">
        <v>16010</v>
      </c>
      <c r="Q148" s="488">
        <v>800</v>
      </c>
      <c r="R148" s="5">
        <f t="shared" si="25"/>
        <v>12808000</v>
      </c>
    </row>
    <row r="149" spans="1:18" ht="16.5" customHeight="1">
      <c r="A149" s="792">
        <f t="shared" si="23"/>
        <v>16</v>
      </c>
      <c r="B149" s="161" t="s">
        <v>667</v>
      </c>
      <c r="C149" s="472">
        <v>42672</v>
      </c>
      <c r="D149" s="473" t="s">
        <v>761</v>
      </c>
      <c r="E149" s="537">
        <v>43</v>
      </c>
      <c r="F149" s="538">
        <v>32</v>
      </c>
      <c r="G149" s="538">
        <v>32</v>
      </c>
      <c r="H149" s="574">
        <f t="shared" si="24"/>
        <v>1.04</v>
      </c>
      <c r="I149" s="134">
        <f t="shared" si="20"/>
        <v>115.44</v>
      </c>
      <c r="J149" s="549">
        <v>111</v>
      </c>
      <c r="K149" s="134">
        <f t="shared" si="21"/>
        <v>7912.9992191575602</v>
      </c>
      <c r="L149" s="412">
        <v>11700</v>
      </c>
      <c r="M149" s="412"/>
      <c r="N149" s="277" t="s">
        <v>775</v>
      </c>
      <c r="O149" s="472">
        <v>42665</v>
      </c>
      <c r="P149" s="495">
        <v>13030</v>
      </c>
      <c r="Q149" s="488">
        <v>800</v>
      </c>
      <c r="R149" s="5">
        <f t="shared" si="25"/>
        <v>10424000</v>
      </c>
    </row>
    <row r="150" spans="1:18" ht="16.5" customHeight="1">
      <c r="A150" s="792">
        <f t="shared" si="23"/>
        <v>17</v>
      </c>
      <c r="B150" s="161" t="s">
        <v>668</v>
      </c>
      <c r="C150" s="472">
        <v>42672</v>
      </c>
      <c r="D150" s="473" t="s">
        <v>761</v>
      </c>
      <c r="E150" s="537">
        <v>63</v>
      </c>
      <c r="F150" s="538">
        <v>42</v>
      </c>
      <c r="G150" s="538">
        <v>29</v>
      </c>
      <c r="H150" s="574">
        <f t="shared" si="24"/>
        <v>1.59</v>
      </c>
      <c r="I150" s="134">
        <f t="shared" si="20"/>
        <v>28.62</v>
      </c>
      <c r="J150" s="549">
        <v>18</v>
      </c>
      <c r="K150" s="134">
        <f t="shared" si="21"/>
        <v>12097.758421596654</v>
      </c>
      <c r="L150" s="412">
        <v>18000</v>
      </c>
      <c r="M150" s="412"/>
      <c r="N150" s="277" t="s">
        <v>860</v>
      </c>
      <c r="O150" s="472">
        <v>42678</v>
      </c>
      <c r="P150" s="495">
        <v>430</v>
      </c>
      <c r="Q150" s="488">
        <v>23500</v>
      </c>
      <c r="R150" s="5">
        <f t="shared" si="25"/>
        <v>10105000</v>
      </c>
    </row>
    <row r="151" spans="1:18" ht="16.5" customHeight="1">
      <c r="A151" s="792">
        <f t="shared" si="23"/>
        <v>18</v>
      </c>
      <c r="B151" s="161" t="s">
        <v>498</v>
      </c>
      <c r="C151" s="472">
        <v>42672</v>
      </c>
      <c r="D151" s="473" t="s">
        <v>761</v>
      </c>
      <c r="E151" s="537">
        <v>47</v>
      </c>
      <c r="F151" s="538">
        <v>42</v>
      </c>
      <c r="G151" s="538">
        <v>25</v>
      </c>
      <c r="H151" s="574">
        <f t="shared" si="24"/>
        <v>1.28</v>
      </c>
      <c r="I151" s="134">
        <f t="shared" si="20"/>
        <v>66.56</v>
      </c>
      <c r="J151" s="549">
        <v>52</v>
      </c>
      <c r="K151" s="134">
        <f t="shared" si="21"/>
        <v>9739.075962040075</v>
      </c>
      <c r="L151" s="412">
        <v>9800</v>
      </c>
      <c r="M151" s="412"/>
      <c r="N151" s="277" t="s">
        <v>862</v>
      </c>
      <c r="O151" s="472">
        <v>42678</v>
      </c>
      <c r="P151" s="495">
        <v>250</v>
      </c>
      <c r="Q151" s="488">
        <v>9000</v>
      </c>
      <c r="R151" s="5">
        <f t="shared" si="25"/>
        <v>2250000</v>
      </c>
    </row>
    <row r="152" spans="1:18" ht="16.5" customHeight="1">
      <c r="A152" s="792">
        <f t="shared" si="23"/>
        <v>19</v>
      </c>
      <c r="B152" s="161" t="s">
        <v>498</v>
      </c>
      <c r="C152" s="472">
        <v>42672</v>
      </c>
      <c r="D152" s="473" t="s">
        <v>762</v>
      </c>
      <c r="E152" s="537">
        <v>47</v>
      </c>
      <c r="F152" s="538">
        <v>42</v>
      </c>
      <c r="G152" s="538">
        <v>25</v>
      </c>
      <c r="H152" s="574">
        <f t="shared" si="24"/>
        <v>1.28</v>
      </c>
      <c r="I152" s="134">
        <f t="shared" si="20"/>
        <v>263.68</v>
      </c>
      <c r="J152" s="549">
        <v>206</v>
      </c>
      <c r="K152" s="134">
        <f t="shared" si="21"/>
        <v>9739.075962040075</v>
      </c>
      <c r="L152" s="412">
        <v>9800</v>
      </c>
      <c r="M152" s="412"/>
      <c r="N152" s="277" t="s">
        <v>862</v>
      </c>
      <c r="O152" s="472">
        <v>42684</v>
      </c>
      <c r="P152" s="495">
        <v>2000</v>
      </c>
      <c r="Q152" s="488">
        <v>9000</v>
      </c>
      <c r="R152" s="5">
        <f t="shared" si="25"/>
        <v>18000000</v>
      </c>
    </row>
    <row r="153" spans="1:18" ht="16.5" customHeight="1">
      <c r="A153" s="792">
        <f t="shared" si="23"/>
        <v>20</v>
      </c>
      <c r="B153" s="161" t="s">
        <v>669</v>
      </c>
      <c r="C153" s="472">
        <v>42672</v>
      </c>
      <c r="D153" s="473" t="s">
        <v>762</v>
      </c>
      <c r="E153" s="537">
        <v>40</v>
      </c>
      <c r="F153" s="538">
        <v>31</v>
      </c>
      <c r="G153" s="538">
        <v>28</v>
      </c>
      <c r="H153" s="574">
        <f t="shared" si="24"/>
        <v>0.91</v>
      </c>
      <c r="I153" s="134">
        <f t="shared" si="20"/>
        <v>300.3</v>
      </c>
      <c r="J153" s="549">
        <v>330</v>
      </c>
      <c r="K153" s="134">
        <f t="shared" si="21"/>
        <v>6923.8743167628654</v>
      </c>
      <c r="L153" s="412">
        <v>7000</v>
      </c>
      <c r="M153" s="412"/>
      <c r="N153" s="277" t="s">
        <v>775</v>
      </c>
      <c r="O153" s="472">
        <v>42688</v>
      </c>
      <c r="P153" s="495">
        <v>18190</v>
      </c>
      <c r="Q153" s="488">
        <v>800</v>
      </c>
      <c r="R153" s="5">
        <f t="shared" si="25"/>
        <v>14552000</v>
      </c>
    </row>
    <row r="154" spans="1:18" ht="16.5" customHeight="1">
      <c r="A154" s="792">
        <f t="shared" si="23"/>
        <v>21</v>
      </c>
      <c r="B154" s="161" t="s">
        <v>670</v>
      </c>
      <c r="C154" s="472">
        <v>42672</v>
      </c>
      <c r="D154" s="473" t="s">
        <v>762</v>
      </c>
      <c r="E154" s="537">
        <v>43</v>
      </c>
      <c r="F154" s="538">
        <v>39</v>
      </c>
      <c r="G154" s="538">
        <v>25</v>
      </c>
      <c r="H154" s="574">
        <f t="shared" si="24"/>
        <v>1.1299999999999999</v>
      </c>
      <c r="I154" s="134">
        <f t="shared" si="20"/>
        <v>25.99</v>
      </c>
      <c r="J154" s="549">
        <v>23</v>
      </c>
      <c r="K154" s="134">
        <f t="shared" si="21"/>
        <v>8597.7779977385017</v>
      </c>
      <c r="L154" s="412">
        <v>8700</v>
      </c>
      <c r="M154" s="412"/>
      <c r="N154" s="277" t="s">
        <v>775</v>
      </c>
      <c r="O154" s="472">
        <v>42698</v>
      </c>
      <c r="P154" s="495">
        <v>17050</v>
      </c>
      <c r="Q154" s="488">
        <v>800</v>
      </c>
      <c r="R154" s="5">
        <f t="shared" si="25"/>
        <v>13640000</v>
      </c>
    </row>
    <row r="155" spans="1:18" ht="16.5" customHeight="1">
      <c r="A155" s="792">
        <f t="shared" si="23"/>
        <v>22</v>
      </c>
      <c r="B155" s="161" t="s">
        <v>671</v>
      </c>
      <c r="C155" s="472">
        <v>42672</v>
      </c>
      <c r="D155" s="473" t="s">
        <v>762</v>
      </c>
      <c r="E155" s="537">
        <v>43</v>
      </c>
      <c r="F155" s="538">
        <v>33</v>
      </c>
      <c r="G155" s="538">
        <v>33</v>
      </c>
      <c r="H155" s="574">
        <f t="shared" si="24"/>
        <v>1.08</v>
      </c>
      <c r="I155" s="134">
        <f t="shared" si="20"/>
        <v>59.400000000000006</v>
      </c>
      <c r="J155" s="549">
        <v>55</v>
      </c>
      <c r="K155" s="134">
        <f t="shared" si="21"/>
        <v>8217.3453429713136</v>
      </c>
      <c r="L155" s="412">
        <v>12300</v>
      </c>
      <c r="M155" s="412"/>
      <c r="N155" s="109" t="s">
        <v>442</v>
      </c>
      <c r="O155" s="105">
        <v>42712</v>
      </c>
      <c r="P155" s="133">
        <v>19820</v>
      </c>
      <c r="Q155" s="133">
        <v>800</v>
      </c>
      <c r="R155" s="5">
        <f t="shared" si="25"/>
        <v>15856000</v>
      </c>
    </row>
    <row r="156" spans="1:18" ht="16.5" customHeight="1">
      <c r="A156" s="792">
        <f t="shared" si="23"/>
        <v>23</v>
      </c>
      <c r="B156" s="161" t="s">
        <v>672</v>
      </c>
      <c r="C156" s="472">
        <v>42672</v>
      </c>
      <c r="D156" s="473" t="s">
        <v>763</v>
      </c>
      <c r="E156" s="537">
        <v>48</v>
      </c>
      <c r="F156" s="538">
        <v>37</v>
      </c>
      <c r="G156" s="538">
        <v>29</v>
      </c>
      <c r="H156" s="574">
        <f t="shared" si="24"/>
        <v>1.21</v>
      </c>
      <c r="I156" s="134">
        <f t="shared" si="20"/>
        <v>254.1</v>
      </c>
      <c r="J156" s="549">
        <v>210</v>
      </c>
      <c r="K156" s="134">
        <f t="shared" si="21"/>
        <v>9206.4702453660066</v>
      </c>
      <c r="L156" s="412">
        <v>9200</v>
      </c>
      <c r="M156" s="412"/>
      <c r="N156" s="109" t="s">
        <v>442</v>
      </c>
      <c r="O156" s="105">
        <v>42723</v>
      </c>
      <c r="P156" s="133">
        <v>6950</v>
      </c>
      <c r="Q156" s="133">
        <v>800</v>
      </c>
      <c r="R156" s="5">
        <f t="shared" si="25"/>
        <v>5560000</v>
      </c>
    </row>
    <row r="157" spans="1:18" ht="16.5" customHeight="1">
      <c r="A157" s="792">
        <f t="shared" si="23"/>
        <v>24</v>
      </c>
      <c r="B157" s="161" t="s">
        <v>673</v>
      </c>
      <c r="C157" s="472">
        <v>42672</v>
      </c>
      <c r="D157" s="473" t="s">
        <v>763</v>
      </c>
      <c r="E157" s="537">
        <v>52</v>
      </c>
      <c r="F157" s="538">
        <v>52</v>
      </c>
      <c r="G157" s="538">
        <v>27</v>
      </c>
      <c r="H157" s="574">
        <f t="shared" si="24"/>
        <v>1.75</v>
      </c>
      <c r="I157" s="134">
        <f t="shared" si="20"/>
        <v>280</v>
      </c>
      <c r="J157" s="549">
        <v>160</v>
      </c>
      <c r="K157" s="134">
        <f t="shared" si="21"/>
        <v>13315.142916851664</v>
      </c>
      <c r="L157" s="412">
        <v>19700</v>
      </c>
      <c r="M157" s="412"/>
      <c r="N157" s="109" t="s">
        <v>860</v>
      </c>
      <c r="O157" s="110">
        <v>42730</v>
      </c>
      <c r="P157" s="133">
        <v>400</v>
      </c>
      <c r="Q157" s="133">
        <v>23500</v>
      </c>
      <c r="R157" s="5">
        <f t="shared" si="25"/>
        <v>9400000</v>
      </c>
    </row>
    <row r="158" spans="1:18" ht="16.5" customHeight="1">
      <c r="A158" s="792">
        <f t="shared" si="23"/>
        <v>25</v>
      </c>
      <c r="B158" s="161" t="s">
        <v>498</v>
      </c>
      <c r="C158" s="472">
        <v>42672</v>
      </c>
      <c r="D158" s="473" t="s">
        <v>763</v>
      </c>
      <c r="E158" s="537">
        <v>47</v>
      </c>
      <c r="F158" s="538">
        <v>42</v>
      </c>
      <c r="G158" s="538">
        <v>25</v>
      </c>
      <c r="H158" s="574">
        <f t="shared" si="24"/>
        <v>1.28</v>
      </c>
      <c r="I158" s="134">
        <f t="shared" si="20"/>
        <v>204.8</v>
      </c>
      <c r="J158" s="549">
        <v>160</v>
      </c>
      <c r="K158" s="134">
        <f t="shared" si="21"/>
        <v>9739.075962040075</v>
      </c>
      <c r="L158" s="412">
        <v>9800</v>
      </c>
      <c r="M158" s="412"/>
      <c r="N158" s="277"/>
      <c r="O158" s="472"/>
      <c r="P158" s="495"/>
      <c r="Q158" s="488"/>
      <c r="R158" s="5"/>
    </row>
    <row r="159" spans="1:18" ht="16.5" customHeight="1">
      <c r="A159" s="792">
        <f t="shared" si="23"/>
        <v>26</v>
      </c>
      <c r="B159" s="161" t="s">
        <v>674</v>
      </c>
      <c r="C159" s="472">
        <v>42672</v>
      </c>
      <c r="D159" s="473" t="s">
        <v>763</v>
      </c>
      <c r="E159" s="537">
        <v>46</v>
      </c>
      <c r="F159" s="538">
        <v>36</v>
      </c>
      <c r="G159" s="538">
        <v>25</v>
      </c>
      <c r="H159" s="574">
        <f t="shared" si="24"/>
        <v>1.08</v>
      </c>
      <c r="I159" s="134">
        <f t="shared" si="20"/>
        <v>172.8</v>
      </c>
      <c r="J159" s="549">
        <v>160</v>
      </c>
      <c r="K159" s="134">
        <f t="shared" si="21"/>
        <v>8217.3453429713136</v>
      </c>
      <c r="L159" s="412">
        <v>8200</v>
      </c>
      <c r="M159" s="412"/>
      <c r="N159" s="525" t="s">
        <v>378</v>
      </c>
      <c r="O159" s="526"/>
      <c r="P159" s="527"/>
      <c r="Q159" s="346"/>
      <c r="R159" s="346">
        <f>SUM(R147:R158)</f>
        <v>122712500</v>
      </c>
    </row>
    <row r="160" spans="1:18" ht="16.5" customHeight="1">
      <c r="A160" s="792">
        <f t="shared" si="23"/>
        <v>27</v>
      </c>
      <c r="B160" s="161" t="s">
        <v>675</v>
      </c>
      <c r="C160" s="472">
        <v>42672</v>
      </c>
      <c r="D160" s="473" t="s">
        <v>763</v>
      </c>
      <c r="E160" s="537">
        <v>45</v>
      </c>
      <c r="F160" s="538">
        <v>42</v>
      </c>
      <c r="G160" s="538">
        <v>25</v>
      </c>
      <c r="H160" s="574">
        <f t="shared" si="24"/>
        <v>1.25</v>
      </c>
      <c r="I160" s="134">
        <f t="shared" si="20"/>
        <v>128.75</v>
      </c>
      <c r="J160" s="549">
        <v>103</v>
      </c>
      <c r="K160" s="134">
        <f t="shared" si="21"/>
        <v>9510.8163691797599</v>
      </c>
      <c r="L160" s="412">
        <v>9500</v>
      </c>
      <c r="M160" s="412"/>
      <c r="N160" s="277" t="s">
        <v>379</v>
      </c>
      <c r="O160" s="472"/>
      <c r="P160" s="495"/>
      <c r="Q160" s="488"/>
      <c r="R160" s="5">
        <f>R146</f>
        <v>748716100</v>
      </c>
    </row>
    <row r="161" spans="1:18" ht="16.5" customHeight="1">
      <c r="A161" s="792">
        <f t="shared" si="23"/>
        <v>28</v>
      </c>
      <c r="B161" s="161" t="s">
        <v>676</v>
      </c>
      <c r="C161" s="472">
        <v>42672</v>
      </c>
      <c r="D161" s="473" t="s">
        <v>763</v>
      </c>
      <c r="E161" s="537">
        <v>48</v>
      </c>
      <c r="F161" s="538">
        <v>42</v>
      </c>
      <c r="G161" s="538">
        <v>29</v>
      </c>
      <c r="H161" s="574">
        <f t="shared" si="24"/>
        <v>1.37</v>
      </c>
      <c r="I161" s="134">
        <f t="shared" si="20"/>
        <v>9.59</v>
      </c>
      <c r="J161" s="549">
        <v>7</v>
      </c>
      <c r="K161" s="134">
        <f t="shared" si="21"/>
        <v>10423.854740621018</v>
      </c>
      <c r="L161" s="412">
        <v>15400</v>
      </c>
      <c r="M161" s="412"/>
      <c r="N161" s="277" t="s">
        <v>380</v>
      </c>
      <c r="O161" s="472"/>
      <c r="P161" s="495"/>
      <c r="Q161" s="488"/>
      <c r="R161" s="5">
        <f>R159</f>
        <v>122712500</v>
      </c>
    </row>
    <row r="162" spans="1:18" ht="16.5" customHeight="1">
      <c r="A162" s="792">
        <f t="shared" si="23"/>
        <v>29</v>
      </c>
      <c r="B162" s="161" t="s">
        <v>677</v>
      </c>
      <c r="C162" s="472">
        <v>42672</v>
      </c>
      <c r="D162" s="473" t="s">
        <v>763</v>
      </c>
      <c r="E162" s="537">
        <v>38</v>
      </c>
      <c r="F162" s="538">
        <v>38</v>
      </c>
      <c r="G162" s="538">
        <v>26</v>
      </c>
      <c r="H162" s="574">
        <f t="shared" si="24"/>
        <v>1.05</v>
      </c>
      <c r="I162" s="134">
        <f t="shared" si="20"/>
        <v>110.25</v>
      </c>
      <c r="J162" s="549">
        <v>105</v>
      </c>
      <c r="K162" s="134">
        <f t="shared" si="21"/>
        <v>7989.0857501109986</v>
      </c>
      <c r="L162" s="412">
        <v>8100</v>
      </c>
      <c r="M162" s="412"/>
      <c r="N162" s="277" t="s">
        <v>382</v>
      </c>
      <c r="O162" s="472"/>
      <c r="P162" s="495"/>
      <c r="Q162" s="488"/>
      <c r="R162" s="5">
        <v>5800000</v>
      </c>
    </row>
    <row r="163" spans="1:18" ht="16.5" customHeight="1">
      <c r="A163" s="792">
        <f t="shared" si="23"/>
        <v>30</v>
      </c>
      <c r="B163" s="161" t="s">
        <v>678</v>
      </c>
      <c r="C163" s="472">
        <v>42672</v>
      </c>
      <c r="D163" s="473" t="s">
        <v>763</v>
      </c>
      <c r="E163" s="537">
        <v>39</v>
      </c>
      <c r="F163" s="538">
        <v>39</v>
      </c>
      <c r="G163" s="538">
        <v>28</v>
      </c>
      <c r="H163" s="574">
        <f t="shared" si="24"/>
        <v>1.1299999999999999</v>
      </c>
      <c r="I163" s="134">
        <f t="shared" si="20"/>
        <v>124.29999999999998</v>
      </c>
      <c r="J163" s="549">
        <v>110</v>
      </c>
      <c r="K163" s="134">
        <f t="shared" si="21"/>
        <v>8597.7779977385017</v>
      </c>
      <c r="L163" s="412">
        <v>6500</v>
      </c>
      <c r="M163" s="412"/>
      <c r="N163" s="277" t="s">
        <v>381</v>
      </c>
      <c r="O163" s="472"/>
      <c r="P163" s="495"/>
      <c r="Q163" s="488"/>
      <c r="R163" s="5">
        <v>13250000</v>
      </c>
    </row>
    <row r="164" spans="1:18" ht="16.5" customHeight="1">
      <c r="A164" s="792">
        <f t="shared" si="23"/>
        <v>31</v>
      </c>
      <c r="B164" s="161" t="s">
        <v>500</v>
      </c>
      <c r="C164" s="472">
        <v>42682</v>
      </c>
      <c r="D164" s="473" t="s">
        <v>764</v>
      </c>
      <c r="E164" s="537">
        <v>45</v>
      </c>
      <c r="F164" s="538">
        <v>37</v>
      </c>
      <c r="G164" s="538">
        <v>27.5</v>
      </c>
      <c r="H164" s="574">
        <f t="shared" si="24"/>
        <v>1.1399999999999999</v>
      </c>
      <c r="I164" s="134">
        <f t="shared" si="20"/>
        <v>341.99999999999994</v>
      </c>
      <c r="J164" s="549">
        <v>300</v>
      </c>
      <c r="K164" s="134">
        <f t="shared" si="21"/>
        <v>8673.86452869194</v>
      </c>
      <c r="L164" s="412">
        <v>13800</v>
      </c>
      <c r="M164" s="412"/>
      <c r="N164" s="277" t="s">
        <v>394</v>
      </c>
      <c r="O164" s="472"/>
      <c r="P164" s="495"/>
      <c r="Q164" s="488"/>
      <c r="R164" s="5">
        <v>41940000</v>
      </c>
    </row>
    <row r="165" spans="1:18" ht="16.5" customHeight="1">
      <c r="A165" s="792">
        <f t="shared" si="23"/>
        <v>32</v>
      </c>
      <c r="B165" s="161" t="s">
        <v>500</v>
      </c>
      <c r="C165" s="472">
        <v>42682</v>
      </c>
      <c r="D165" s="473" t="s">
        <v>764</v>
      </c>
      <c r="E165" s="537">
        <v>45</v>
      </c>
      <c r="F165" s="538">
        <v>37</v>
      </c>
      <c r="G165" s="538">
        <v>27.5</v>
      </c>
      <c r="H165" s="574">
        <f t="shared" si="24"/>
        <v>1.1399999999999999</v>
      </c>
      <c r="I165" s="134">
        <f t="shared" si="20"/>
        <v>2280</v>
      </c>
      <c r="J165" s="549">
        <v>2000</v>
      </c>
      <c r="K165" s="134">
        <f t="shared" si="21"/>
        <v>8673.86452869194</v>
      </c>
      <c r="L165" s="412">
        <v>13800</v>
      </c>
      <c r="M165" s="412"/>
      <c r="N165" s="111"/>
      <c r="O165" s="472"/>
      <c r="P165" s="495"/>
      <c r="Q165" s="488"/>
      <c r="R165" s="5"/>
    </row>
    <row r="166" spans="1:18" ht="16.5" customHeight="1">
      <c r="A166" s="792">
        <f t="shared" si="23"/>
        <v>33</v>
      </c>
      <c r="B166" s="161" t="s">
        <v>679</v>
      </c>
      <c r="C166" s="472">
        <v>42682</v>
      </c>
      <c r="D166" s="473" t="s">
        <v>764</v>
      </c>
      <c r="E166" s="537">
        <v>44</v>
      </c>
      <c r="F166" s="497">
        <v>20</v>
      </c>
      <c r="G166" s="497"/>
      <c r="H166" s="574">
        <f t="shared" si="24"/>
        <v>0.09</v>
      </c>
      <c r="I166" s="134">
        <f t="shared" ref="I166:I197" si="26">H166*J166</f>
        <v>414</v>
      </c>
      <c r="J166" s="549">
        <v>4600</v>
      </c>
      <c r="K166" s="134">
        <f t="shared" ref="K166:K197" si="27">H166*$R$170</f>
        <v>684.77877858094269</v>
      </c>
      <c r="L166" s="412">
        <v>1300</v>
      </c>
      <c r="M166" s="412"/>
      <c r="N166" s="277"/>
      <c r="O166" s="472"/>
      <c r="P166" s="495"/>
      <c r="Q166" s="488"/>
      <c r="R166" s="5"/>
    </row>
    <row r="167" spans="1:18" ht="16.5" customHeight="1">
      <c r="A167" s="792">
        <f t="shared" si="23"/>
        <v>34</v>
      </c>
      <c r="B167" s="161" t="s">
        <v>680</v>
      </c>
      <c r="C167" s="472">
        <v>42682</v>
      </c>
      <c r="D167" s="473" t="s">
        <v>765</v>
      </c>
      <c r="E167" s="537">
        <v>60</v>
      </c>
      <c r="F167" s="538">
        <v>35</v>
      </c>
      <c r="G167" s="538">
        <v>30</v>
      </c>
      <c r="H167" s="574">
        <f t="shared" si="24"/>
        <v>1.33</v>
      </c>
      <c r="I167" s="134">
        <f t="shared" si="26"/>
        <v>8019.9000000000005</v>
      </c>
      <c r="J167" s="549">
        <v>6030</v>
      </c>
      <c r="K167" s="134">
        <f t="shared" si="27"/>
        <v>10119.508616807265</v>
      </c>
      <c r="L167" s="412">
        <v>13800</v>
      </c>
      <c r="M167" s="412"/>
      <c r="N167" s="525" t="s">
        <v>391</v>
      </c>
      <c r="O167" s="526"/>
      <c r="P167" s="527"/>
      <c r="Q167" s="346"/>
      <c r="R167" s="346">
        <f>SUM(R160:R166)</f>
        <v>932418600</v>
      </c>
    </row>
    <row r="168" spans="1:18" ht="16.5" customHeight="1">
      <c r="A168" s="792">
        <f t="shared" si="23"/>
        <v>35</v>
      </c>
      <c r="B168" s="161" t="s">
        <v>690</v>
      </c>
      <c r="C168" s="472">
        <v>42683</v>
      </c>
      <c r="D168" s="473" t="s">
        <v>766</v>
      </c>
      <c r="E168" s="537">
        <v>52</v>
      </c>
      <c r="F168" s="538">
        <v>25</v>
      </c>
      <c r="G168" s="538">
        <v>25</v>
      </c>
      <c r="H168" s="574">
        <f t="shared" si="24"/>
        <v>0.84</v>
      </c>
      <c r="I168" s="134">
        <f t="shared" si="26"/>
        <v>267.12</v>
      </c>
      <c r="J168" s="549">
        <v>318</v>
      </c>
      <c r="K168" s="134">
        <f t="shared" si="27"/>
        <v>6391.2686000887979</v>
      </c>
      <c r="L168" s="412">
        <v>5800</v>
      </c>
      <c r="M168" s="412"/>
      <c r="N168" s="278"/>
      <c r="O168" s="480"/>
      <c r="P168" s="496"/>
      <c r="Q168" s="470"/>
      <c r="R168" s="482"/>
    </row>
    <row r="169" spans="1:18" ht="16.5" customHeight="1">
      <c r="A169" s="792">
        <f t="shared" si="23"/>
        <v>36</v>
      </c>
      <c r="B169" s="161" t="s">
        <v>538</v>
      </c>
      <c r="C169" s="472">
        <v>42683</v>
      </c>
      <c r="D169" s="473" t="s">
        <v>766</v>
      </c>
      <c r="E169" s="537">
        <v>52</v>
      </c>
      <c r="F169" s="538">
        <v>28</v>
      </c>
      <c r="G169" s="538">
        <v>28</v>
      </c>
      <c r="H169" s="574">
        <f t="shared" si="24"/>
        <v>0.97</v>
      </c>
      <c r="I169" s="134">
        <f t="shared" si="26"/>
        <v>504.4</v>
      </c>
      <c r="J169" s="549">
        <v>520</v>
      </c>
      <c r="K169" s="134">
        <f t="shared" si="27"/>
        <v>7380.3935024834936</v>
      </c>
      <c r="L169" s="412">
        <v>6400</v>
      </c>
      <c r="M169" s="412"/>
      <c r="N169" s="278"/>
      <c r="O169" s="480"/>
      <c r="P169" s="496"/>
      <c r="Q169" s="470"/>
      <c r="R169" s="482"/>
    </row>
    <row r="170" spans="1:18" ht="16.5" customHeight="1">
      <c r="A170" s="792">
        <f t="shared" si="23"/>
        <v>37</v>
      </c>
      <c r="B170" s="161" t="s">
        <v>811</v>
      </c>
      <c r="C170" s="472">
        <v>42683</v>
      </c>
      <c r="D170" s="473" t="s">
        <v>809</v>
      </c>
      <c r="E170" s="537">
        <v>50</v>
      </c>
      <c r="F170" s="538">
        <v>29.5</v>
      </c>
      <c r="G170" s="538">
        <v>19</v>
      </c>
      <c r="H170" s="574">
        <f t="shared" si="24"/>
        <v>0.84</v>
      </c>
      <c r="I170" s="134">
        <f t="shared" si="26"/>
        <v>3360</v>
      </c>
      <c r="J170" s="549">
        <v>4000</v>
      </c>
      <c r="K170" s="134">
        <f t="shared" si="27"/>
        <v>6391.2686000887979</v>
      </c>
      <c r="L170" s="412">
        <v>4500</v>
      </c>
      <c r="M170" s="412"/>
      <c r="N170" s="938" t="s">
        <v>392</v>
      </c>
      <c r="O170" s="939"/>
      <c r="P170" s="939"/>
      <c r="Q170" s="940"/>
      <c r="R170" s="530">
        <f>R167/I273</f>
        <v>7608.6530953438078</v>
      </c>
    </row>
    <row r="171" spans="1:18" ht="16.5" customHeight="1">
      <c r="A171" s="792">
        <f t="shared" si="23"/>
        <v>38</v>
      </c>
      <c r="B171" s="161" t="s">
        <v>811</v>
      </c>
      <c r="C171" s="472">
        <v>42684</v>
      </c>
      <c r="D171" s="473" t="s">
        <v>810</v>
      </c>
      <c r="E171" s="537">
        <v>50</v>
      </c>
      <c r="F171" s="538">
        <v>29.5</v>
      </c>
      <c r="G171" s="538">
        <v>19</v>
      </c>
      <c r="H171" s="574">
        <f t="shared" si="24"/>
        <v>0.84</v>
      </c>
      <c r="I171" s="134">
        <f t="shared" si="26"/>
        <v>3360</v>
      </c>
      <c r="J171" s="549">
        <v>4000</v>
      </c>
      <c r="K171" s="134">
        <f t="shared" si="27"/>
        <v>6391.2686000887979</v>
      </c>
      <c r="L171" s="412">
        <v>4500</v>
      </c>
      <c r="M171" s="412"/>
      <c r="N171" s="455"/>
      <c r="O171" s="455"/>
      <c r="P171" s="455"/>
      <c r="Q171" s="455"/>
      <c r="R171" s="455"/>
    </row>
    <row r="172" spans="1:18" ht="16.5" customHeight="1">
      <c r="A172" s="792">
        <f t="shared" si="23"/>
        <v>39</v>
      </c>
      <c r="B172" s="161" t="s">
        <v>683</v>
      </c>
      <c r="C172" s="472">
        <v>42693</v>
      </c>
      <c r="D172" s="473" t="s">
        <v>767</v>
      </c>
      <c r="E172" s="537">
        <v>47</v>
      </c>
      <c r="F172" s="538">
        <v>47</v>
      </c>
      <c r="G172" s="538">
        <v>52</v>
      </c>
      <c r="H172" s="574">
        <f t="shared" si="24"/>
        <v>1.97</v>
      </c>
      <c r="I172" s="134">
        <f t="shared" si="26"/>
        <v>45.31</v>
      </c>
      <c r="J172" s="549">
        <v>23</v>
      </c>
      <c r="K172" s="134">
        <f t="shared" si="27"/>
        <v>14989.046597827301</v>
      </c>
      <c r="L172" s="412">
        <v>16070</v>
      </c>
      <c r="M172" s="412"/>
      <c r="N172" s="455"/>
      <c r="O172" s="455"/>
      <c r="P172" s="455"/>
      <c r="Q172" s="455"/>
      <c r="R172" s="455"/>
    </row>
    <row r="173" spans="1:18" ht="16.5" customHeight="1">
      <c r="A173" s="792">
        <f t="shared" si="23"/>
        <v>40</v>
      </c>
      <c r="B173" s="161" t="s">
        <v>496</v>
      </c>
      <c r="C173" s="472">
        <v>42693</v>
      </c>
      <c r="D173" s="473" t="s">
        <v>767</v>
      </c>
      <c r="E173" s="537">
        <v>103</v>
      </c>
      <c r="F173" s="538">
        <v>54</v>
      </c>
      <c r="G173" s="538">
        <v>180</v>
      </c>
      <c r="H173" s="574">
        <f t="shared" si="24"/>
        <v>7.56</v>
      </c>
      <c r="I173" s="134">
        <f t="shared" si="26"/>
        <v>476.28</v>
      </c>
      <c r="J173" s="549">
        <v>63</v>
      </c>
      <c r="K173" s="134">
        <f t="shared" si="27"/>
        <v>57521.417400799182</v>
      </c>
      <c r="L173" s="412">
        <v>75276</v>
      </c>
      <c r="M173" s="412"/>
      <c r="N173" s="455"/>
      <c r="O173" s="455"/>
      <c r="P173" s="455"/>
      <c r="Q173" s="455"/>
      <c r="R173" s="455"/>
    </row>
    <row r="174" spans="1:18" ht="16.5" customHeight="1">
      <c r="A174" s="792">
        <f t="shared" si="23"/>
        <v>41</v>
      </c>
      <c r="B174" s="161" t="s">
        <v>684</v>
      </c>
      <c r="C174" s="472">
        <v>42693</v>
      </c>
      <c r="D174" s="473" t="s">
        <v>767</v>
      </c>
      <c r="E174" s="537">
        <v>58</v>
      </c>
      <c r="F174" s="538">
        <v>57</v>
      </c>
      <c r="G174" s="538">
        <v>95</v>
      </c>
      <c r="H174" s="574">
        <f t="shared" si="24"/>
        <v>3.64</v>
      </c>
      <c r="I174" s="134">
        <f t="shared" si="26"/>
        <v>98.28</v>
      </c>
      <c r="J174" s="549">
        <v>27</v>
      </c>
      <c r="K174" s="134">
        <f t="shared" si="27"/>
        <v>27695.497267051462</v>
      </c>
      <c r="L174" s="412">
        <v>29954</v>
      </c>
      <c r="M174" s="412"/>
      <c r="N174" s="455"/>
      <c r="O174" s="455"/>
      <c r="P174" s="455"/>
      <c r="Q174" s="455"/>
      <c r="R174" s="455"/>
    </row>
    <row r="175" spans="1:18" ht="16.5" customHeight="1">
      <c r="A175" s="792">
        <f t="shared" si="23"/>
        <v>42</v>
      </c>
      <c r="B175" s="161" t="s">
        <v>685</v>
      </c>
      <c r="C175" s="472">
        <v>42693</v>
      </c>
      <c r="D175" s="473" t="s">
        <v>767</v>
      </c>
      <c r="E175" s="537">
        <v>58</v>
      </c>
      <c r="F175" s="538">
        <v>57</v>
      </c>
      <c r="G175" s="538">
        <v>81</v>
      </c>
      <c r="H175" s="574">
        <f t="shared" si="24"/>
        <v>3.31</v>
      </c>
      <c r="I175" s="134">
        <f t="shared" si="26"/>
        <v>89.37</v>
      </c>
      <c r="J175" s="549">
        <v>27</v>
      </c>
      <c r="K175" s="134">
        <f t="shared" si="27"/>
        <v>25184.641745588004</v>
      </c>
      <c r="L175" s="412">
        <v>27926</v>
      </c>
      <c r="M175" s="412"/>
      <c r="N175" s="455"/>
      <c r="O175" s="455"/>
      <c r="P175" s="455"/>
      <c r="Q175" s="455"/>
      <c r="R175" s="455"/>
    </row>
    <row r="176" spans="1:18" ht="16.5" customHeight="1">
      <c r="A176" s="792">
        <f t="shared" si="23"/>
        <v>43</v>
      </c>
      <c r="B176" s="161" t="s">
        <v>686</v>
      </c>
      <c r="C176" s="472">
        <v>42693</v>
      </c>
      <c r="D176" s="473" t="s">
        <v>767</v>
      </c>
      <c r="E176" s="537">
        <v>67</v>
      </c>
      <c r="F176" s="538">
        <v>62</v>
      </c>
      <c r="G176" s="538">
        <v>114</v>
      </c>
      <c r="H176" s="574">
        <f t="shared" si="24"/>
        <v>4.71</v>
      </c>
      <c r="I176" s="134">
        <f t="shared" si="26"/>
        <v>122.46</v>
      </c>
      <c r="J176" s="549">
        <v>26</v>
      </c>
      <c r="K176" s="134">
        <f t="shared" si="27"/>
        <v>35836.756079069331</v>
      </c>
      <c r="L176" s="412">
        <v>42230</v>
      </c>
      <c r="M176" s="412"/>
      <c r="N176" s="455"/>
      <c r="O176" s="455"/>
      <c r="P176" s="455"/>
      <c r="Q176" s="455"/>
      <c r="R176" s="455"/>
    </row>
    <row r="177" spans="1:18" ht="16.5" customHeight="1">
      <c r="A177" s="792">
        <f t="shared" si="23"/>
        <v>44</v>
      </c>
      <c r="B177" s="161" t="s">
        <v>687</v>
      </c>
      <c r="C177" s="472">
        <v>42693</v>
      </c>
      <c r="D177" s="473" t="s">
        <v>767</v>
      </c>
      <c r="E177" s="537">
        <v>58</v>
      </c>
      <c r="F177" s="538">
        <v>57</v>
      </c>
      <c r="G177" s="538">
        <v>62</v>
      </c>
      <c r="H177" s="574">
        <f t="shared" si="24"/>
        <v>2.87</v>
      </c>
      <c r="I177" s="134">
        <f t="shared" si="26"/>
        <v>60.27</v>
      </c>
      <c r="J177" s="549">
        <v>21</v>
      </c>
      <c r="K177" s="134">
        <f t="shared" si="27"/>
        <v>21836.834383636728</v>
      </c>
      <c r="L177" s="412">
        <v>21839</v>
      </c>
      <c r="M177" s="412"/>
      <c r="N177" s="455"/>
      <c r="O177" s="455"/>
      <c r="P177" s="455"/>
      <c r="Q177" s="455"/>
      <c r="R177" s="455"/>
    </row>
    <row r="178" spans="1:18" ht="16.5" customHeight="1">
      <c r="A178" s="792">
        <f t="shared" si="23"/>
        <v>45</v>
      </c>
      <c r="B178" s="161" t="s">
        <v>957</v>
      </c>
      <c r="C178" s="472">
        <v>42694</v>
      </c>
      <c r="D178" s="473" t="s">
        <v>436</v>
      </c>
      <c r="E178" s="537">
        <v>82</v>
      </c>
      <c r="F178" s="538">
        <v>37.5</v>
      </c>
      <c r="G178" s="538">
        <v>11.2</v>
      </c>
      <c r="H178" s="574">
        <f t="shared" si="24"/>
        <v>1.26</v>
      </c>
      <c r="I178" s="134">
        <f t="shared" si="26"/>
        <v>1965.6</v>
      </c>
      <c r="J178" s="549">
        <v>1560</v>
      </c>
      <c r="K178" s="134">
        <f t="shared" si="27"/>
        <v>9586.9029001331983</v>
      </c>
      <c r="L178" s="412">
        <v>8813</v>
      </c>
      <c r="M178" s="412"/>
      <c r="N178" s="455"/>
      <c r="O178" s="455"/>
      <c r="P178" s="455"/>
      <c r="Q178" s="455"/>
      <c r="R178" s="455"/>
    </row>
    <row r="179" spans="1:18" ht="16.5" customHeight="1">
      <c r="A179" s="792">
        <f t="shared" si="23"/>
        <v>46</v>
      </c>
      <c r="B179" s="161" t="s">
        <v>811</v>
      </c>
      <c r="C179" s="472">
        <v>42693</v>
      </c>
      <c r="D179" s="473" t="s">
        <v>813</v>
      </c>
      <c r="E179" s="537">
        <v>50</v>
      </c>
      <c r="F179" s="538">
        <v>29.5</v>
      </c>
      <c r="G179" s="538">
        <v>19</v>
      </c>
      <c r="H179" s="574">
        <f t="shared" si="24"/>
        <v>0.84</v>
      </c>
      <c r="I179" s="134">
        <f t="shared" si="26"/>
        <v>3360</v>
      </c>
      <c r="J179" s="549">
        <v>4000</v>
      </c>
      <c r="K179" s="134">
        <f t="shared" si="27"/>
        <v>6391.2686000887979</v>
      </c>
      <c r="L179" s="412">
        <v>4500</v>
      </c>
      <c r="M179" s="412"/>
      <c r="N179" s="455"/>
      <c r="O179" s="455"/>
      <c r="P179" s="455"/>
      <c r="Q179" s="455"/>
      <c r="R179" s="455"/>
    </row>
    <row r="180" spans="1:18" ht="16.5" customHeight="1">
      <c r="A180" s="792">
        <f t="shared" si="23"/>
        <v>47</v>
      </c>
      <c r="B180" s="161" t="s">
        <v>682</v>
      </c>
      <c r="C180" s="472">
        <v>42696</v>
      </c>
      <c r="D180" s="473" t="s">
        <v>768</v>
      </c>
      <c r="E180" s="537">
        <v>51.5</v>
      </c>
      <c r="F180" s="538">
        <v>39.5</v>
      </c>
      <c r="G180" s="538">
        <v>38.5</v>
      </c>
      <c r="H180" s="574">
        <f t="shared" si="24"/>
        <v>1.51</v>
      </c>
      <c r="I180" s="134">
        <f t="shared" si="26"/>
        <v>918.08</v>
      </c>
      <c r="J180" s="549">
        <v>608</v>
      </c>
      <c r="K180" s="134">
        <f t="shared" si="27"/>
        <v>11489.06617396915</v>
      </c>
      <c r="L180" s="412">
        <v>20750</v>
      </c>
      <c r="M180" s="412"/>
      <c r="N180" s="455"/>
      <c r="O180" s="455"/>
      <c r="P180" s="455"/>
      <c r="Q180" s="455"/>
      <c r="R180" s="455"/>
    </row>
    <row r="181" spans="1:18" ht="16.5" customHeight="1">
      <c r="A181" s="792">
        <f t="shared" si="23"/>
        <v>48</v>
      </c>
      <c r="B181" s="161" t="s">
        <v>811</v>
      </c>
      <c r="C181" s="472">
        <v>42697</v>
      </c>
      <c r="D181" s="473" t="s">
        <v>814</v>
      </c>
      <c r="E181" s="537">
        <v>50</v>
      </c>
      <c r="F181" s="538">
        <v>29.5</v>
      </c>
      <c r="G181" s="538">
        <v>19</v>
      </c>
      <c r="H181" s="574">
        <f t="shared" si="24"/>
        <v>0.84</v>
      </c>
      <c r="I181" s="134">
        <f t="shared" si="26"/>
        <v>2816.52</v>
      </c>
      <c r="J181" s="549">
        <v>3353</v>
      </c>
      <c r="K181" s="134">
        <f t="shared" si="27"/>
        <v>6391.2686000887979</v>
      </c>
      <c r="L181" s="412">
        <v>4500</v>
      </c>
      <c r="M181" s="412"/>
      <c r="N181" s="455"/>
      <c r="O181" s="455"/>
      <c r="P181" s="455"/>
      <c r="Q181" s="455"/>
      <c r="R181" s="455"/>
    </row>
    <row r="182" spans="1:18" ht="16.5" customHeight="1">
      <c r="A182" s="792">
        <f t="shared" si="23"/>
        <v>49</v>
      </c>
      <c r="B182" s="161" t="s">
        <v>689</v>
      </c>
      <c r="C182" s="472">
        <v>42703</v>
      </c>
      <c r="D182" s="473" t="s">
        <v>769</v>
      </c>
      <c r="E182" s="537">
        <v>37.5</v>
      </c>
      <c r="F182" s="538">
        <v>25.3</v>
      </c>
      <c r="G182" s="538">
        <v>23.9</v>
      </c>
      <c r="H182" s="574">
        <f t="shared" si="24"/>
        <v>0.68</v>
      </c>
      <c r="I182" s="134">
        <f t="shared" si="26"/>
        <v>693.6</v>
      </c>
      <c r="J182" s="549">
        <v>1020</v>
      </c>
      <c r="K182" s="134">
        <f t="shared" si="27"/>
        <v>5173.8841048337899</v>
      </c>
      <c r="L182" s="412">
        <v>5900</v>
      </c>
      <c r="M182" s="412"/>
      <c r="N182" s="455"/>
      <c r="O182" s="455"/>
      <c r="P182" s="455"/>
      <c r="Q182" s="455"/>
      <c r="R182" s="455"/>
    </row>
    <row r="183" spans="1:18" ht="16.5" customHeight="1">
      <c r="A183" s="792">
        <f t="shared" si="23"/>
        <v>50</v>
      </c>
      <c r="B183" s="161" t="s">
        <v>691</v>
      </c>
      <c r="C183" s="472">
        <v>42703</v>
      </c>
      <c r="D183" s="473" t="s">
        <v>770</v>
      </c>
      <c r="E183" s="537">
        <v>123</v>
      </c>
      <c r="F183" s="538">
        <v>63</v>
      </c>
      <c r="G183" s="538">
        <v>186</v>
      </c>
      <c r="H183" s="574">
        <f t="shared" si="24"/>
        <v>9.5</v>
      </c>
      <c r="I183" s="134">
        <f t="shared" si="26"/>
        <v>237.5</v>
      </c>
      <c r="J183" s="549">
        <v>25</v>
      </c>
      <c r="K183" s="134">
        <f t="shared" si="27"/>
        <v>72282.20440576617</v>
      </c>
      <c r="L183" s="412">
        <v>56000</v>
      </c>
      <c r="M183" s="412"/>
      <c r="N183" s="455"/>
      <c r="O183" s="455"/>
      <c r="P183" s="455"/>
      <c r="Q183" s="455"/>
      <c r="R183" s="455"/>
    </row>
    <row r="184" spans="1:18" ht="16.5" customHeight="1">
      <c r="A184" s="792">
        <f t="shared" si="23"/>
        <v>51</v>
      </c>
      <c r="B184" s="161" t="s">
        <v>692</v>
      </c>
      <c r="C184" s="472">
        <v>42703</v>
      </c>
      <c r="D184" s="473" t="s">
        <v>770</v>
      </c>
      <c r="E184" s="537">
        <v>123</v>
      </c>
      <c r="F184" s="538">
        <v>63</v>
      </c>
      <c r="G184" s="538">
        <v>138</v>
      </c>
      <c r="H184" s="574">
        <f t="shared" si="24"/>
        <v>7.69</v>
      </c>
      <c r="I184" s="134">
        <f t="shared" si="26"/>
        <v>38.450000000000003</v>
      </c>
      <c r="J184" s="549">
        <v>5</v>
      </c>
      <c r="K184" s="134">
        <f t="shared" si="27"/>
        <v>58510.542303193884</v>
      </c>
      <c r="L184" s="412">
        <v>53000</v>
      </c>
      <c r="M184" s="412"/>
      <c r="N184" s="455"/>
      <c r="O184" s="455"/>
      <c r="P184" s="455"/>
      <c r="Q184" s="455"/>
      <c r="R184" s="455"/>
    </row>
    <row r="185" spans="1:18" ht="16.5" customHeight="1">
      <c r="A185" s="792">
        <f t="shared" si="23"/>
        <v>52</v>
      </c>
      <c r="B185" s="161" t="s">
        <v>693</v>
      </c>
      <c r="C185" s="472">
        <v>42703</v>
      </c>
      <c r="D185" s="473" t="s">
        <v>770</v>
      </c>
      <c r="E185" s="537">
        <v>142</v>
      </c>
      <c r="F185" s="538">
        <v>72</v>
      </c>
      <c r="G185" s="538">
        <v>58</v>
      </c>
      <c r="H185" s="574">
        <f t="shared" si="24"/>
        <v>5.76</v>
      </c>
      <c r="I185" s="134">
        <f t="shared" si="26"/>
        <v>576</v>
      </c>
      <c r="J185" s="549">
        <v>100</v>
      </c>
      <c r="K185" s="134">
        <f t="shared" si="27"/>
        <v>43825.841829180332</v>
      </c>
      <c r="L185" s="412">
        <v>30237</v>
      </c>
      <c r="M185" s="412"/>
      <c r="N185" s="455"/>
      <c r="O185" s="455"/>
      <c r="P185" s="455"/>
      <c r="Q185" s="455"/>
      <c r="R185" s="455"/>
    </row>
    <row r="186" spans="1:18" ht="16.5" customHeight="1">
      <c r="A186" s="792">
        <f t="shared" si="23"/>
        <v>53</v>
      </c>
      <c r="B186" s="161" t="s">
        <v>694</v>
      </c>
      <c r="C186" s="472">
        <v>42703</v>
      </c>
      <c r="D186" s="473" t="s">
        <v>770</v>
      </c>
      <c r="E186" s="537">
        <v>162</v>
      </c>
      <c r="F186" s="538">
        <v>64</v>
      </c>
      <c r="G186" s="538">
        <v>178</v>
      </c>
      <c r="H186" s="574">
        <f t="shared" si="24"/>
        <v>11.2</v>
      </c>
      <c r="I186" s="134">
        <f t="shared" si="26"/>
        <v>134.39999999999998</v>
      </c>
      <c r="J186" s="549">
        <v>12</v>
      </c>
      <c r="K186" s="134">
        <f t="shared" si="27"/>
        <v>85216.914667850637</v>
      </c>
      <c r="L186" s="412">
        <v>75900</v>
      </c>
      <c r="M186" s="412"/>
      <c r="N186" s="455"/>
      <c r="O186" s="455"/>
      <c r="P186" s="455"/>
      <c r="Q186" s="455"/>
      <c r="R186" s="455"/>
    </row>
    <row r="187" spans="1:18" ht="16.5" customHeight="1">
      <c r="A187" s="792">
        <f t="shared" si="23"/>
        <v>54</v>
      </c>
      <c r="B187" s="161" t="s">
        <v>811</v>
      </c>
      <c r="C187" s="472">
        <v>42705</v>
      </c>
      <c r="D187" s="473" t="s">
        <v>774</v>
      </c>
      <c r="E187" s="537">
        <v>50</v>
      </c>
      <c r="F187" s="538">
        <v>29.5</v>
      </c>
      <c r="G187" s="538">
        <v>19</v>
      </c>
      <c r="H187" s="574">
        <f t="shared" si="24"/>
        <v>0.84</v>
      </c>
      <c r="I187" s="134">
        <f t="shared" si="26"/>
        <v>2016</v>
      </c>
      <c r="J187" s="549">
        <v>2400</v>
      </c>
      <c r="K187" s="134">
        <f t="shared" si="27"/>
        <v>6391.2686000887979</v>
      </c>
      <c r="L187" s="412">
        <v>7500</v>
      </c>
      <c r="M187" s="412"/>
      <c r="N187" s="455"/>
      <c r="O187" s="455"/>
      <c r="P187" s="455"/>
      <c r="Q187" s="455"/>
      <c r="R187" s="455"/>
    </row>
    <row r="188" spans="1:18" ht="16.5" customHeight="1">
      <c r="A188" s="792">
        <f t="shared" si="23"/>
        <v>55</v>
      </c>
      <c r="B188" s="161" t="s">
        <v>811</v>
      </c>
      <c r="C188" s="472">
        <v>42706</v>
      </c>
      <c r="D188" s="473" t="s">
        <v>822</v>
      </c>
      <c r="E188" s="537">
        <v>50</v>
      </c>
      <c r="F188" s="538">
        <v>29.5</v>
      </c>
      <c r="G188" s="538">
        <v>19</v>
      </c>
      <c r="H188" s="574">
        <f t="shared" si="24"/>
        <v>0.84</v>
      </c>
      <c r="I188" s="134">
        <f t="shared" si="26"/>
        <v>1344</v>
      </c>
      <c r="J188" s="549">
        <v>1600</v>
      </c>
      <c r="K188" s="134">
        <f t="shared" si="27"/>
        <v>6391.2686000887979</v>
      </c>
      <c r="L188" s="412">
        <v>7500</v>
      </c>
      <c r="M188" s="412"/>
      <c r="N188" s="455"/>
      <c r="O188" s="455"/>
      <c r="P188" s="455"/>
      <c r="Q188" s="455"/>
      <c r="R188" s="455"/>
    </row>
    <row r="189" spans="1:18" ht="16.5" customHeight="1">
      <c r="A189" s="792">
        <f t="shared" si="23"/>
        <v>56</v>
      </c>
      <c r="B189" s="161" t="s">
        <v>811</v>
      </c>
      <c r="C189" s="472">
        <v>42707</v>
      </c>
      <c r="D189" s="473" t="s">
        <v>823</v>
      </c>
      <c r="E189" s="537">
        <v>50</v>
      </c>
      <c r="F189" s="538">
        <v>29.5</v>
      </c>
      <c r="G189" s="538">
        <v>19</v>
      </c>
      <c r="H189" s="574">
        <f t="shared" si="24"/>
        <v>0.84</v>
      </c>
      <c r="I189" s="134">
        <f t="shared" si="26"/>
        <v>3360</v>
      </c>
      <c r="J189" s="549">
        <v>4000</v>
      </c>
      <c r="K189" s="134">
        <f t="shared" si="27"/>
        <v>6391.2686000887979</v>
      </c>
      <c r="L189" s="412">
        <v>4500</v>
      </c>
      <c r="M189" s="412"/>
      <c r="N189" s="455"/>
      <c r="O189" s="455"/>
      <c r="P189" s="455"/>
      <c r="Q189" s="455"/>
      <c r="R189" s="455"/>
    </row>
    <row r="190" spans="1:18" ht="16.5" customHeight="1">
      <c r="A190" s="792">
        <f t="shared" si="23"/>
        <v>57</v>
      </c>
      <c r="B190" s="161" t="s">
        <v>825</v>
      </c>
      <c r="C190" s="472">
        <v>42708</v>
      </c>
      <c r="D190" s="473" t="s">
        <v>824</v>
      </c>
      <c r="E190" s="537">
        <v>54</v>
      </c>
      <c r="F190" s="538">
        <v>28</v>
      </c>
      <c r="G190" s="538">
        <v>27</v>
      </c>
      <c r="H190" s="574">
        <f t="shared" si="24"/>
        <v>0.98</v>
      </c>
      <c r="I190" s="134">
        <f t="shared" si="26"/>
        <v>6030.92</v>
      </c>
      <c r="J190" s="549">
        <v>6154</v>
      </c>
      <c r="K190" s="134">
        <f t="shared" si="27"/>
        <v>7456.4800334369311</v>
      </c>
      <c r="L190" s="412">
        <v>16700</v>
      </c>
      <c r="M190" s="412"/>
      <c r="N190" s="455"/>
      <c r="O190" s="455"/>
      <c r="P190" s="455"/>
      <c r="Q190" s="455"/>
      <c r="R190" s="455"/>
    </row>
    <row r="191" spans="1:18" ht="16.5" customHeight="1">
      <c r="A191" s="792">
        <f t="shared" si="23"/>
        <v>58</v>
      </c>
      <c r="B191" s="161" t="s">
        <v>826</v>
      </c>
      <c r="C191" s="472">
        <v>42708</v>
      </c>
      <c r="D191" s="473" t="s">
        <v>824</v>
      </c>
      <c r="E191" s="537">
        <v>56</v>
      </c>
      <c r="F191" s="538">
        <v>32</v>
      </c>
      <c r="G191" s="538">
        <v>30</v>
      </c>
      <c r="H191" s="574">
        <f t="shared" si="24"/>
        <v>1.18</v>
      </c>
      <c r="I191" s="134">
        <f t="shared" si="26"/>
        <v>1036.04</v>
      </c>
      <c r="J191" s="549">
        <v>878</v>
      </c>
      <c r="K191" s="134">
        <f t="shared" si="27"/>
        <v>8978.2106525056934</v>
      </c>
      <c r="L191" s="412">
        <v>19400</v>
      </c>
      <c r="M191" s="412"/>
      <c r="N191" s="455"/>
      <c r="O191" s="455"/>
      <c r="P191" s="455"/>
      <c r="Q191" s="455"/>
      <c r="R191" s="455"/>
    </row>
    <row r="192" spans="1:18" ht="16.5" customHeight="1">
      <c r="A192" s="792">
        <f t="shared" si="23"/>
        <v>59</v>
      </c>
      <c r="B192" s="161" t="s">
        <v>811</v>
      </c>
      <c r="C192" s="472">
        <v>42709</v>
      </c>
      <c r="D192" s="473" t="s">
        <v>827</v>
      </c>
      <c r="E192" s="537">
        <v>50</v>
      </c>
      <c r="F192" s="538">
        <v>29.5</v>
      </c>
      <c r="G192" s="538">
        <v>19</v>
      </c>
      <c r="H192" s="574">
        <f t="shared" si="24"/>
        <v>0.84</v>
      </c>
      <c r="I192" s="134">
        <f t="shared" si="26"/>
        <v>2016</v>
      </c>
      <c r="J192" s="549">
        <v>2400</v>
      </c>
      <c r="K192" s="134">
        <f t="shared" si="27"/>
        <v>6391.2686000887979</v>
      </c>
      <c r="L192" s="412">
        <v>7500</v>
      </c>
      <c r="M192" s="412"/>
      <c r="N192" s="455"/>
      <c r="O192" s="455"/>
      <c r="P192" s="455"/>
      <c r="Q192" s="455"/>
      <c r="R192" s="455"/>
    </row>
    <row r="193" spans="1:18" ht="16.5" customHeight="1">
      <c r="A193" s="792">
        <f t="shared" si="23"/>
        <v>60</v>
      </c>
      <c r="B193" s="161" t="s">
        <v>811</v>
      </c>
      <c r="C193" s="472">
        <v>42710</v>
      </c>
      <c r="D193" s="473" t="s">
        <v>828</v>
      </c>
      <c r="E193" s="537">
        <v>50</v>
      </c>
      <c r="F193" s="538">
        <v>29.5</v>
      </c>
      <c r="G193" s="538">
        <v>19</v>
      </c>
      <c r="H193" s="574">
        <f t="shared" si="24"/>
        <v>0.84</v>
      </c>
      <c r="I193" s="134">
        <f t="shared" si="26"/>
        <v>2016</v>
      </c>
      <c r="J193" s="549">
        <v>2400</v>
      </c>
      <c r="K193" s="134">
        <f t="shared" si="27"/>
        <v>6391.2686000887979</v>
      </c>
      <c r="L193" s="412">
        <v>7500</v>
      </c>
      <c r="M193" s="412"/>
      <c r="N193" s="455"/>
      <c r="O193" s="455"/>
      <c r="P193" s="455"/>
      <c r="Q193" s="455"/>
      <c r="R193" s="455"/>
    </row>
    <row r="194" spans="1:18" ht="16.5" customHeight="1">
      <c r="A194" s="792">
        <f t="shared" si="23"/>
        <v>61</v>
      </c>
      <c r="B194" s="161" t="s">
        <v>831</v>
      </c>
      <c r="C194" s="472">
        <v>42713</v>
      </c>
      <c r="D194" s="473" t="s">
        <v>830</v>
      </c>
      <c r="E194" s="537">
        <v>50</v>
      </c>
      <c r="F194" s="538">
        <v>39</v>
      </c>
      <c r="G194" s="538">
        <v>24.9</v>
      </c>
      <c r="H194" s="574">
        <f t="shared" si="24"/>
        <v>1.22</v>
      </c>
      <c r="I194" s="134">
        <f t="shared" si="26"/>
        <v>488</v>
      </c>
      <c r="J194" s="549">
        <v>400</v>
      </c>
      <c r="K194" s="134">
        <f t="shared" si="27"/>
        <v>9282.5567763194449</v>
      </c>
      <c r="L194" s="412">
        <v>13400</v>
      </c>
      <c r="M194" s="412"/>
      <c r="N194" s="455"/>
      <c r="O194" s="455"/>
      <c r="P194" s="455"/>
      <c r="Q194" s="455"/>
      <c r="R194" s="455"/>
    </row>
    <row r="195" spans="1:18" ht="16.5" customHeight="1">
      <c r="A195" s="792">
        <f t="shared" si="23"/>
        <v>62</v>
      </c>
      <c r="B195" s="161" t="s">
        <v>832</v>
      </c>
      <c r="C195" s="472">
        <v>42713</v>
      </c>
      <c r="D195" s="473" t="s">
        <v>830</v>
      </c>
      <c r="E195" s="537">
        <v>19</v>
      </c>
      <c r="F195" s="538">
        <v>16</v>
      </c>
      <c r="G195" s="538">
        <v>11</v>
      </c>
      <c r="H195" s="574">
        <f t="shared" si="24"/>
        <v>0.23</v>
      </c>
      <c r="I195" s="134">
        <f t="shared" si="26"/>
        <v>920</v>
      </c>
      <c r="J195" s="549">
        <v>4000</v>
      </c>
      <c r="K195" s="134">
        <f t="shared" si="27"/>
        <v>1749.9902119290759</v>
      </c>
      <c r="L195" s="412">
        <v>2200</v>
      </c>
      <c r="M195" s="412"/>
      <c r="N195" s="455"/>
      <c r="O195" s="455"/>
      <c r="P195" s="455"/>
      <c r="Q195" s="455"/>
      <c r="R195" s="455"/>
    </row>
    <row r="196" spans="1:18" ht="16.5" customHeight="1">
      <c r="A196" s="792">
        <f t="shared" si="23"/>
        <v>63</v>
      </c>
      <c r="B196" s="161" t="s">
        <v>826</v>
      </c>
      <c r="C196" s="472">
        <v>42713</v>
      </c>
      <c r="D196" s="473" t="s">
        <v>439</v>
      </c>
      <c r="E196" s="537">
        <v>56</v>
      </c>
      <c r="F196" s="497">
        <v>32</v>
      </c>
      <c r="G196" s="497">
        <v>30</v>
      </c>
      <c r="H196" s="574">
        <f t="shared" si="24"/>
        <v>1.18</v>
      </c>
      <c r="I196" s="134">
        <f t="shared" si="26"/>
        <v>6183.2</v>
      </c>
      <c r="J196" s="549">
        <v>5240</v>
      </c>
      <c r="K196" s="134">
        <f t="shared" si="27"/>
        <v>8978.2106525056934</v>
      </c>
      <c r="L196" s="412">
        <v>13800</v>
      </c>
      <c r="M196" s="412"/>
      <c r="N196" s="455"/>
      <c r="O196" s="455"/>
      <c r="P196" s="455"/>
      <c r="Q196" s="455"/>
      <c r="R196" s="455"/>
    </row>
    <row r="197" spans="1:18" ht="16.5" customHeight="1">
      <c r="A197" s="792">
        <f t="shared" si="23"/>
        <v>64</v>
      </c>
      <c r="B197" s="161" t="s">
        <v>835</v>
      </c>
      <c r="C197" s="472">
        <v>42713</v>
      </c>
      <c r="D197" s="473" t="s">
        <v>834</v>
      </c>
      <c r="E197" s="537">
        <v>67</v>
      </c>
      <c r="F197" s="538">
        <v>49</v>
      </c>
      <c r="G197" s="538">
        <v>43</v>
      </c>
      <c r="H197" s="574">
        <f t="shared" si="24"/>
        <v>2.25</v>
      </c>
      <c r="I197" s="134">
        <f t="shared" si="26"/>
        <v>204.75</v>
      </c>
      <c r="J197" s="549">
        <v>91</v>
      </c>
      <c r="K197" s="134">
        <f t="shared" si="27"/>
        <v>17119.469464523569</v>
      </c>
      <c r="L197" s="412">
        <v>27000</v>
      </c>
      <c r="M197" s="412"/>
      <c r="N197" s="455"/>
      <c r="O197" s="455"/>
      <c r="P197" s="455"/>
      <c r="Q197" s="455"/>
      <c r="R197" s="455"/>
    </row>
    <row r="198" spans="1:18" ht="16.5" customHeight="1">
      <c r="A198" s="792">
        <f t="shared" si="23"/>
        <v>65</v>
      </c>
      <c r="B198" s="161" t="s">
        <v>836</v>
      </c>
      <c r="C198" s="472">
        <v>42713</v>
      </c>
      <c r="D198" s="473" t="s">
        <v>834</v>
      </c>
      <c r="E198" s="537">
        <v>48</v>
      </c>
      <c r="F198" s="538">
        <v>22</v>
      </c>
      <c r="G198" s="538">
        <v>33</v>
      </c>
      <c r="H198" s="574">
        <f t="shared" si="24"/>
        <v>0.84</v>
      </c>
      <c r="I198" s="134">
        <f t="shared" ref="I198:I229" si="28">H198*J198</f>
        <v>252</v>
      </c>
      <c r="J198" s="549">
        <v>300</v>
      </c>
      <c r="K198" s="134">
        <f t="shared" ref="K198:K229" si="29">H198*$R$170</f>
        <v>6391.2686000887979</v>
      </c>
      <c r="L198" s="412">
        <v>6700</v>
      </c>
      <c r="M198" s="412"/>
      <c r="N198" s="455"/>
      <c r="O198" s="455"/>
      <c r="P198" s="455"/>
      <c r="Q198" s="455"/>
      <c r="R198" s="455"/>
    </row>
    <row r="199" spans="1:18" ht="16.5" customHeight="1">
      <c r="A199" s="792">
        <f t="shared" si="23"/>
        <v>66</v>
      </c>
      <c r="B199" s="161" t="s">
        <v>811</v>
      </c>
      <c r="C199" s="472">
        <v>42713</v>
      </c>
      <c r="D199" s="473" t="s">
        <v>837</v>
      </c>
      <c r="E199" s="537">
        <v>50</v>
      </c>
      <c r="F199" s="538">
        <v>29.5</v>
      </c>
      <c r="G199" s="538">
        <v>19</v>
      </c>
      <c r="H199" s="574">
        <f t="shared" si="24"/>
        <v>0.84</v>
      </c>
      <c r="I199" s="134">
        <f t="shared" si="28"/>
        <v>2016</v>
      </c>
      <c r="J199" s="549">
        <v>2400</v>
      </c>
      <c r="K199" s="134">
        <f t="shared" si="29"/>
        <v>6391.2686000887979</v>
      </c>
      <c r="L199" s="412">
        <v>7500</v>
      </c>
      <c r="M199" s="412"/>
      <c r="N199" s="455"/>
      <c r="O199" s="455"/>
      <c r="P199" s="455"/>
      <c r="Q199" s="455"/>
      <c r="R199" s="455"/>
    </row>
    <row r="200" spans="1:18" ht="16.5" customHeight="1">
      <c r="A200" s="792">
        <f t="shared" si="23"/>
        <v>67</v>
      </c>
      <c r="B200" s="161" t="s">
        <v>811</v>
      </c>
      <c r="C200" s="472">
        <v>42714</v>
      </c>
      <c r="D200" s="473" t="s">
        <v>838</v>
      </c>
      <c r="E200" s="537">
        <v>50</v>
      </c>
      <c r="F200" s="538">
        <v>29.5</v>
      </c>
      <c r="G200" s="538">
        <v>19</v>
      </c>
      <c r="H200" s="574">
        <f t="shared" si="24"/>
        <v>0.84</v>
      </c>
      <c r="I200" s="134">
        <f t="shared" si="28"/>
        <v>2016</v>
      </c>
      <c r="J200" s="549">
        <v>2400</v>
      </c>
      <c r="K200" s="134">
        <f t="shared" si="29"/>
        <v>6391.2686000887979</v>
      </c>
      <c r="L200" s="412">
        <v>7500</v>
      </c>
      <c r="M200" s="412"/>
      <c r="N200" s="455"/>
      <c r="O200" s="455"/>
      <c r="P200" s="455"/>
      <c r="Q200" s="455"/>
      <c r="R200" s="455"/>
    </row>
    <row r="201" spans="1:18" ht="16.5" customHeight="1">
      <c r="A201" s="792">
        <f t="shared" si="23"/>
        <v>68</v>
      </c>
      <c r="B201" s="161" t="s">
        <v>811</v>
      </c>
      <c r="C201" s="472">
        <v>42715</v>
      </c>
      <c r="D201" s="473" t="s">
        <v>839</v>
      </c>
      <c r="E201" s="537">
        <v>50</v>
      </c>
      <c r="F201" s="538">
        <v>29.5</v>
      </c>
      <c r="G201" s="538">
        <v>19</v>
      </c>
      <c r="H201" s="574">
        <f t="shared" si="24"/>
        <v>0.84</v>
      </c>
      <c r="I201" s="134">
        <f t="shared" si="28"/>
        <v>2016</v>
      </c>
      <c r="J201" s="549">
        <v>2400</v>
      </c>
      <c r="K201" s="134">
        <f t="shared" si="29"/>
        <v>6391.2686000887979</v>
      </c>
      <c r="L201" s="412">
        <v>7500</v>
      </c>
      <c r="M201" s="412"/>
      <c r="N201" s="455"/>
      <c r="O201" s="455"/>
      <c r="P201" s="455"/>
      <c r="Q201" s="455"/>
      <c r="R201" s="455"/>
    </row>
    <row r="202" spans="1:18" ht="16.5" customHeight="1">
      <c r="A202" s="792">
        <f t="shared" si="23"/>
        <v>69</v>
      </c>
      <c r="B202" s="161" t="s">
        <v>811</v>
      </c>
      <c r="C202" s="472">
        <v>42716</v>
      </c>
      <c r="D202" s="473" t="s">
        <v>840</v>
      </c>
      <c r="E202" s="537">
        <v>50</v>
      </c>
      <c r="F202" s="538">
        <v>29.5</v>
      </c>
      <c r="G202" s="538">
        <v>19</v>
      </c>
      <c r="H202" s="574">
        <f t="shared" si="24"/>
        <v>0.84</v>
      </c>
      <c r="I202" s="134">
        <f t="shared" si="28"/>
        <v>2016</v>
      </c>
      <c r="J202" s="549">
        <v>2400</v>
      </c>
      <c r="K202" s="134">
        <f t="shared" si="29"/>
        <v>6391.2686000887979</v>
      </c>
      <c r="L202" s="412">
        <v>7500</v>
      </c>
      <c r="M202" s="412"/>
      <c r="N202" s="455"/>
      <c r="O202" s="455"/>
      <c r="P202" s="455"/>
      <c r="Q202" s="455"/>
      <c r="R202" s="455"/>
    </row>
    <row r="203" spans="1:18" ht="16.5" customHeight="1">
      <c r="A203" s="792">
        <f t="shared" si="23"/>
        <v>70</v>
      </c>
      <c r="B203" s="161" t="s">
        <v>662</v>
      </c>
      <c r="C203" s="472">
        <v>42716</v>
      </c>
      <c r="D203" s="473" t="s">
        <v>880</v>
      </c>
      <c r="E203" s="537">
        <v>39.5</v>
      </c>
      <c r="F203" s="538">
        <v>32.299999999999997</v>
      </c>
      <c r="G203" s="538">
        <v>27.7</v>
      </c>
      <c r="H203" s="574">
        <f t="shared" si="24"/>
        <v>0.94</v>
      </c>
      <c r="I203" s="134">
        <f t="shared" si="28"/>
        <v>312.08</v>
      </c>
      <c r="J203" s="549">
        <v>332</v>
      </c>
      <c r="K203" s="134">
        <f t="shared" si="29"/>
        <v>7152.1339096231786</v>
      </c>
      <c r="L203" s="412">
        <v>9400</v>
      </c>
      <c r="M203" s="412"/>
      <c r="N203" s="455"/>
      <c r="O203" s="455"/>
      <c r="P203" s="455"/>
      <c r="Q203" s="455"/>
      <c r="R203" s="455"/>
    </row>
    <row r="204" spans="1:18" ht="16.5" customHeight="1">
      <c r="A204" s="792">
        <f t="shared" si="23"/>
        <v>71</v>
      </c>
      <c r="B204" s="161" t="s">
        <v>509</v>
      </c>
      <c r="C204" s="472">
        <v>42716</v>
      </c>
      <c r="D204" s="473" t="s">
        <v>880</v>
      </c>
      <c r="E204" s="537">
        <v>49.5</v>
      </c>
      <c r="F204" s="538">
        <v>38.5</v>
      </c>
      <c r="G204" s="538">
        <v>32.5</v>
      </c>
      <c r="H204" s="574">
        <f t="shared" si="24"/>
        <v>1.34</v>
      </c>
      <c r="I204" s="134">
        <f t="shared" si="28"/>
        <v>139.36000000000001</v>
      </c>
      <c r="J204" s="549">
        <v>104</v>
      </c>
      <c r="K204" s="134">
        <f t="shared" si="29"/>
        <v>10195.595147760703</v>
      </c>
      <c r="L204" s="412">
        <v>12900</v>
      </c>
      <c r="M204" s="412"/>
      <c r="N204" s="455"/>
      <c r="O204" s="455"/>
      <c r="P204" s="455"/>
      <c r="Q204" s="455"/>
      <c r="R204" s="455"/>
    </row>
    <row r="205" spans="1:18" ht="16.5" customHeight="1">
      <c r="A205" s="792">
        <f t="shared" si="23"/>
        <v>72</v>
      </c>
      <c r="B205" s="161" t="s">
        <v>527</v>
      </c>
      <c r="C205" s="472">
        <v>42717</v>
      </c>
      <c r="D205" s="473" t="s">
        <v>881</v>
      </c>
      <c r="E205" s="537">
        <v>103</v>
      </c>
      <c r="F205" s="538">
        <v>50</v>
      </c>
      <c r="G205" s="538">
        <v>180</v>
      </c>
      <c r="H205" s="574">
        <f t="shared" si="24"/>
        <v>7.25</v>
      </c>
      <c r="I205" s="134">
        <f t="shared" si="28"/>
        <v>435</v>
      </c>
      <c r="J205" s="549">
        <v>60</v>
      </c>
      <c r="K205" s="134">
        <f t="shared" si="29"/>
        <v>55162.734941242605</v>
      </c>
      <c r="L205" s="412">
        <v>47449</v>
      </c>
      <c r="M205" s="412"/>
      <c r="N205" s="455"/>
      <c r="O205" s="455"/>
      <c r="P205" s="455"/>
      <c r="Q205" s="455"/>
      <c r="R205" s="455"/>
    </row>
    <row r="206" spans="1:18" ht="16.5" customHeight="1">
      <c r="A206" s="792">
        <f t="shared" si="23"/>
        <v>73</v>
      </c>
      <c r="B206" s="161" t="s">
        <v>664</v>
      </c>
      <c r="C206" s="472">
        <v>42717</v>
      </c>
      <c r="D206" s="473" t="s">
        <v>881</v>
      </c>
      <c r="E206" s="537">
        <v>122</v>
      </c>
      <c r="F206" s="538">
        <v>54</v>
      </c>
      <c r="G206" s="538">
        <v>180</v>
      </c>
      <c r="H206" s="574">
        <f t="shared" si="24"/>
        <v>8.4600000000000009</v>
      </c>
      <c r="I206" s="134">
        <f t="shared" si="28"/>
        <v>186.12</v>
      </c>
      <c r="J206" s="549">
        <v>22</v>
      </c>
      <c r="K206" s="134">
        <f t="shared" si="29"/>
        <v>64369.205186608619</v>
      </c>
      <c r="L206" s="412">
        <v>54530</v>
      </c>
      <c r="M206" s="412"/>
      <c r="N206" s="455"/>
      <c r="O206" s="455"/>
      <c r="P206" s="455"/>
      <c r="Q206" s="455"/>
      <c r="R206" s="455"/>
    </row>
    <row r="207" spans="1:18" ht="16.5" customHeight="1">
      <c r="A207" s="792">
        <f t="shared" si="23"/>
        <v>74</v>
      </c>
      <c r="B207" s="161" t="s">
        <v>842</v>
      </c>
      <c r="C207" s="472">
        <v>42719</v>
      </c>
      <c r="D207" s="473" t="s">
        <v>841</v>
      </c>
      <c r="E207" s="537">
        <v>78</v>
      </c>
      <c r="F207" s="538">
        <v>52</v>
      </c>
      <c r="G207" s="538">
        <v>4.5</v>
      </c>
      <c r="H207" s="574">
        <f t="shared" si="24"/>
        <v>1.58</v>
      </c>
      <c r="I207" s="134">
        <f t="shared" si="28"/>
        <v>162.74</v>
      </c>
      <c r="J207" s="549">
        <v>103</v>
      </c>
      <c r="K207" s="134">
        <f t="shared" si="29"/>
        <v>12021.671890643216</v>
      </c>
      <c r="L207" s="412">
        <v>14000</v>
      </c>
      <c r="M207" s="412"/>
      <c r="N207" s="455"/>
      <c r="O207" s="455"/>
      <c r="P207" s="455"/>
      <c r="Q207" s="455"/>
      <c r="R207" s="455"/>
    </row>
    <row r="208" spans="1:18" ht="16.5" customHeight="1">
      <c r="A208" s="792">
        <f t="shared" ref="A208:A271" si="30">IF(B208&lt;&gt;"",ROW()-133,"")</f>
        <v>75</v>
      </c>
      <c r="B208" s="161" t="s">
        <v>843</v>
      </c>
      <c r="C208" s="472">
        <v>42719</v>
      </c>
      <c r="D208" s="473" t="s">
        <v>841</v>
      </c>
      <c r="E208" s="537">
        <v>98</v>
      </c>
      <c r="F208" s="538">
        <v>65</v>
      </c>
      <c r="G208" s="538">
        <v>4.5</v>
      </c>
      <c r="H208" s="574">
        <f t="shared" si="24"/>
        <v>2.4</v>
      </c>
      <c r="I208" s="134">
        <f t="shared" si="28"/>
        <v>655.19999999999993</v>
      </c>
      <c r="J208" s="549">
        <v>273</v>
      </c>
      <c r="K208" s="134">
        <f t="shared" si="29"/>
        <v>18260.767428825136</v>
      </c>
      <c r="L208" s="412">
        <v>20000</v>
      </c>
      <c r="M208" s="412"/>
      <c r="N208" s="455"/>
      <c r="O208" s="455"/>
      <c r="P208" s="455"/>
      <c r="Q208" s="455"/>
      <c r="R208" s="455"/>
    </row>
    <row r="209" spans="1:18" ht="16.5" customHeight="1">
      <c r="A209" s="792">
        <f t="shared" si="30"/>
        <v>76</v>
      </c>
      <c r="B209" s="161" t="s">
        <v>811</v>
      </c>
      <c r="C209" s="472">
        <v>42719</v>
      </c>
      <c r="D209" s="473" t="s">
        <v>882</v>
      </c>
      <c r="E209" s="537">
        <v>50</v>
      </c>
      <c r="F209" s="538">
        <v>29.5</v>
      </c>
      <c r="G209" s="538">
        <v>19</v>
      </c>
      <c r="H209" s="574">
        <f t="shared" si="24"/>
        <v>0.84</v>
      </c>
      <c r="I209" s="134">
        <f t="shared" si="28"/>
        <v>2016</v>
      </c>
      <c r="J209" s="549">
        <v>2400</v>
      </c>
      <c r="K209" s="134">
        <f t="shared" si="29"/>
        <v>6391.2686000887979</v>
      </c>
      <c r="L209" s="412">
        <v>7500</v>
      </c>
      <c r="M209" s="412"/>
      <c r="N209" s="455"/>
      <c r="O209" s="455"/>
      <c r="P209" s="455"/>
      <c r="Q209" s="455"/>
      <c r="R209" s="455"/>
    </row>
    <row r="210" spans="1:18" ht="16.5" customHeight="1">
      <c r="A210" s="792">
        <f t="shared" si="30"/>
        <v>77</v>
      </c>
      <c r="B210" s="161" t="s">
        <v>811</v>
      </c>
      <c r="C210" s="472">
        <v>42720</v>
      </c>
      <c r="D210" s="473" t="s">
        <v>883</v>
      </c>
      <c r="E210" s="537">
        <v>50</v>
      </c>
      <c r="F210" s="538">
        <v>29.5</v>
      </c>
      <c r="G210" s="538">
        <v>19</v>
      </c>
      <c r="H210" s="574">
        <f t="shared" si="24"/>
        <v>0.84</v>
      </c>
      <c r="I210" s="134">
        <f t="shared" si="28"/>
        <v>2016</v>
      </c>
      <c r="J210" s="549">
        <v>2400</v>
      </c>
      <c r="K210" s="134">
        <f t="shared" si="29"/>
        <v>6391.2686000887979</v>
      </c>
      <c r="L210" s="412">
        <v>7500</v>
      </c>
      <c r="M210" s="412"/>
      <c r="N210" s="455"/>
      <c r="O210" s="455"/>
      <c r="P210" s="455"/>
      <c r="Q210" s="455"/>
      <c r="R210" s="455"/>
    </row>
    <row r="211" spans="1:18" ht="16.5" customHeight="1">
      <c r="A211" s="792">
        <f t="shared" si="30"/>
        <v>78</v>
      </c>
      <c r="B211" s="161" t="s">
        <v>846</v>
      </c>
      <c r="C211" s="472">
        <v>42721</v>
      </c>
      <c r="D211" s="473" t="s">
        <v>845</v>
      </c>
      <c r="E211" s="537">
        <v>36</v>
      </c>
      <c r="F211" s="538">
        <v>28</v>
      </c>
      <c r="G211" s="538">
        <v>20</v>
      </c>
      <c r="H211" s="574">
        <f t="shared" si="24"/>
        <v>0.68</v>
      </c>
      <c r="I211" s="134">
        <f t="shared" si="28"/>
        <v>139.4</v>
      </c>
      <c r="J211" s="549">
        <v>205</v>
      </c>
      <c r="K211" s="134">
        <f t="shared" si="29"/>
        <v>5173.8841048337899</v>
      </c>
      <c r="L211" s="412">
        <v>4950</v>
      </c>
      <c r="M211" s="412"/>
      <c r="N211" s="455"/>
      <c r="O211" s="455"/>
      <c r="P211" s="455"/>
      <c r="Q211" s="455"/>
      <c r="R211" s="455"/>
    </row>
    <row r="212" spans="1:18" ht="16.5" customHeight="1">
      <c r="A212" s="792">
        <f t="shared" si="30"/>
        <v>79</v>
      </c>
      <c r="B212" s="161" t="s">
        <v>847</v>
      </c>
      <c r="C212" s="472">
        <v>42721</v>
      </c>
      <c r="D212" s="473" t="s">
        <v>845</v>
      </c>
      <c r="E212" s="537">
        <v>42</v>
      </c>
      <c r="F212" s="538">
        <v>28</v>
      </c>
      <c r="G212" s="538">
        <v>30</v>
      </c>
      <c r="H212" s="574">
        <f t="shared" si="24"/>
        <v>0.88</v>
      </c>
      <c r="I212" s="134">
        <f t="shared" si="28"/>
        <v>1020.8</v>
      </c>
      <c r="J212" s="549">
        <v>1160</v>
      </c>
      <c r="K212" s="134">
        <f t="shared" si="29"/>
        <v>6695.6147239025513</v>
      </c>
      <c r="L212" s="412">
        <v>9936</v>
      </c>
      <c r="M212" s="412"/>
      <c r="N212" s="455"/>
      <c r="O212" s="455"/>
      <c r="P212" s="455"/>
      <c r="Q212" s="455"/>
      <c r="R212" s="455"/>
    </row>
    <row r="213" spans="1:18" ht="16.5" customHeight="1">
      <c r="A213" s="792">
        <f t="shared" si="30"/>
        <v>80</v>
      </c>
      <c r="B213" s="161" t="s">
        <v>849</v>
      </c>
      <c r="C213" s="472">
        <v>42721</v>
      </c>
      <c r="D213" s="473" t="s">
        <v>848</v>
      </c>
      <c r="E213" s="537">
        <v>38</v>
      </c>
      <c r="F213" s="538">
        <v>28</v>
      </c>
      <c r="G213" s="538">
        <v>33</v>
      </c>
      <c r="H213" s="574">
        <f t="shared" si="24"/>
        <v>0.88</v>
      </c>
      <c r="I213" s="134">
        <f t="shared" si="28"/>
        <v>256.95999999999998</v>
      </c>
      <c r="J213" s="549">
        <v>292</v>
      </c>
      <c r="K213" s="134">
        <f t="shared" si="29"/>
        <v>6695.6147239025513</v>
      </c>
      <c r="L213" s="412">
        <v>9853</v>
      </c>
      <c r="M213" s="412"/>
      <c r="N213" s="455"/>
      <c r="O213" s="455"/>
      <c r="P213" s="455"/>
      <c r="Q213" s="455"/>
      <c r="R213" s="455"/>
    </row>
    <row r="214" spans="1:18" ht="16.5" customHeight="1">
      <c r="A214" s="792">
        <f t="shared" si="30"/>
        <v>81</v>
      </c>
      <c r="B214" s="161" t="s">
        <v>850</v>
      </c>
      <c r="C214" s="472">
        <v>42721</v>
      </c>
      <c r="D214" s="473" t="s">
        <v>848</v>
      </c>
      <c r="E214" s="537">
        <v>38</v>
      </c>
      <c r="F214" s="538">
        <v>24</v>
      </c>
      <c r="G214" s="538">
        <v>30</v>
      </c>
      <c r="H214" s="574">
        <f t="shared" si="24"/>
        <v>0.74</v>
      </c>
      <c r="I214" s="134">
        <f t="shared" si="28"/>
        <v>133.19999999999999</v>
      </c>
      <c r="J214" s="549">
        <v>180</v>
      </c>
      <c r="K214" s="134">
        <f t="shared" si="29"/>
        <v>5630.4032905544173</v>
      </c>
      <c r="L214" s="412">
        <v>8243</v>
      </c>
      <c r="M214" s="412"/>
      <c r="N214" s="455"/>
      <c r="O214" s="455"/>
      <c r="P214" s="455"/>
      <c r="Q214" s="455"/>
      <c r="R214" s="455"/>
    </row>
    <row r="215" spans="1:18" ht="16.5" customHeight="1">
      <c r="A215" s="792">
        <f t="shared" si="30"/>
        <v>82</v>
      </c>
      <c r="B215" s="161" t="s">
        <v>851</v>
      </c>
      <c r="C215" s="472">
        <v>42721</v>
      </c>
      <c r="D215" s="473" t="s">
        <v>848</v>
      </c>
      <c r="E215" s="537">
        <v>38</v>
      </c>
      <c r="F215" s="538">
        <v>18</v>
      </c>
      <c r="G215" s="538">
        <v>30</v>
      </c>
      <c r="H215" s="574">
        <f t="shared" si="24"/>
        <v>0.6</v>
      </c>
      <c r="I215" s="134">
        <f t="shared" si="28"/>
        <v>30</v>
      </c>
      <c r="J215" s="549">
        <v>50</v>
      </c>
      <c r="K215" s="134">
        <f t="shared" si="29"/>
        <v>4565.1918572062841</v>
      </c>
      <c r="L215" s="412">
        <v>6670</v>
      </c>
      <c r="M215" s="412"/>
      <c r="N215" s="455"/>
      <c r="O215" s="455"/>
      <c r="P215" s="455"/>
      <c r="Q215" s="455"/>
      <c r="R215" s="455"/>
    </row>
    <row r="216" spans="1:18" ht="16.5" customHeight="1">
      <c r="A216" s="792">
        <f t="shared" si="30"/>
        <v>83</v>
      </c>
      <c r="B216" s="161" t="s">
        <v>852</v>
      </c>
      <c r="C216" s="472">
        <v>42721</v>
      </c>
      <c r="D216" s="473" t="s">
        <v>848</v>
      </c>
      <c r="E216" s="537">
        <v>38</v>
      </c>
      <c r="F216" s="538">
        <v>38</v>
      </c>
      <c r="G216" s="538">
        <v>34</v>
      </c>
      <c r="H216" s="574">
        <f t="shared" si="24"/>
        <v>1.18</v>
      </c>
      <c r="I216" s="134">
        <f t="shared" si="28"/>
        <v>653.71999999999991</v>
      </c>
      <c r="J216" s="549">
        <v>554</v>
      </c>
      <c r="K216" s="134">
        <f t="shared" si="29"/>
        <v>8978.2106525056934</v>
      </c>
      <c r="L216" s="412">
        <v>13276</v>
      </c>
      <c r="M216" s="412"/>
      <c r="N216" s="455"/>
      <c r="O216" s="455"/>
      <c r="P216" s="455"/>
      <c r="Q216" s="455"/>
      <c r="R216" s="455"/>
    </row>
    <row r="217" spans="1:18" ht="16.5" customHeight="1">
      <c r="A217" s="792">
        <f t="shared" si="30"/>
        <v>84</v>
      </c>
      <c r="B217" s="161" t="s">
        <v>855</v>
      </c>
      <c r="C217" s="472">
        <v>42721</v>
      </c>
      <c r="D217" s="473" t="s">
        <v>853</v>
      </c>
      <c r="E217" s="537">
        <v>36</v>
      </c>
      <c r="F217" s="538">
        <v>26</v>
      </c>
      <c r="G217" s="538"/>
      <c r="H217" s="574">
        <f t="shared" si="24"/>
        <v>0.09</v>
      </c>
      <c r="I217" s="134">
        <f t="shared" si="28"/>
        <v>52.559999999999995</v>
      </c>
      <c r="J217" s="549">
        <v>584</v>
      </c>
      <c r="K217" s="134">
        <f t="shared" si="29"/>
        <v>684.77877858094269</v>
      </c>
      <c r="L217" s="412">
        <v>562</v>
      </c>
      <c r="M217" s="412"/>
      <c r="N217" s="455"/>
      <c r="O217" s="455"/>
      <c r="P217" s="455"/>
      <c r="Q217" s="455"/>
      <c r="R217" s="455"/>
    </row>
    <row r="218" spans="1:18" ht="16.5" customHeight="1">
      <c r="A218" s="792">
        <f t="shared" si="30"/>
        <v>85</v>
      </c>
      <c r="B218" s="161" t="s">
        <v>856</v>
      </c>
      <c r="C218" s="472">
        <v>42721</v>
      </c>
      <c r="D218" s="473" t="s">
        <v>853</v>
      </c>
      <c r="E218" s="537">
        <v>36</v>
      </c>
      <c r="F218" s="538">
        <v>22</v>
      </c>
      <c r="G218" s="538"/>
      <c r="H218" s="574">
        <f t="shared" si="24"/>
        <v>0.08</v>
      </c>
      <c r="I218" s="134">
        <f t="shared" si="28"/>
        <v>28.8</v>
      </c>
      <c r="J218" s="549">
        <v>360</v>
      </c>
      <c r="K218" s="134">
        <f t="shared" si="29"/>
        <v>608.69224762750468</v>
      </c>
      <c r="L218" s="412">
        <v>475</v>
      </c>
      <c r="M218" s="412"/>
      <c r="N218" s="455"/>
      <c r="O218" s="455"/>
      <c r="P218" s="455"/>
      <c r="Q218" s="455"/>
      <c r="R218" s="455"/>
    </row>
    <row r="219" spans="1:18" ht="16.5" customHeight="1">
      <c r="A219" s="792">
        <f t="shared" si="30"/>
        <v>86</v>
      </c>
      <c r="B219" s="161" t="s">
        <v>857</v>
      </c>
      <c r="C219" s="472">
        <v>42721</v>
      </c>
      <c r="D219" s="473" t="s">
        <v>853</v>
      </c>
      <c r="E219" s="537">
        <v>36</v>
      </c>
      <c r="F219" s="538">
        <v>18</v>
      </c>
      <c r="G219" s="538"/>
      <c r="H219" s="574">
        <f t="shared" si="24"/>
        <v>0.06</v>
      </c>
      <c r="I219" s="134">
        <f t="shared" si="28"/>
        <v>6</v>
      </c>
      <c r="J219" s="549">
        <v>100</v>
      </c>
      <c r="K219" s="134">
        <f t="shared" si="29"/>
        <v>456.51918572062846</v>
      </c>
      <c r="L219" s="412">
        <v>389</v>
      </c>
      <c r="M219" s="412"/>
      <c r="N219" s="455"/>
      <c r="O219" s="455"/>
      <c r="P219" s="455"/>
      <c r="Q219" s="455"/>
      <c r="R219" s="455"/>
    </row>
    <row r="220" spans="1:18" ht="16.5" customHeight="1">
      <c r="A220" s="792">
        <f t="shared" si="30"/>
        <v>87</v>
      </c>
      <c r="B220" s="161" t="s">
        <v>858</v>
      </c>
      <c r="C220" s="472">
        <v>42721</v>
      </c>
      <c r="D220" s="473" t="s">
        <v>853</v>
      </c>
      <c r="E220" s="537">
        <v>36</v>
      </c>
      <c r="F220" s="538">
        <v>36</v>
      </c>
      <c r="G220" s="538"/>
      <c r="H220" s="574">
        <f t="shared" si="24"/>
        <v>0.13</v>
      </c>
      <c r="I220" s="134">
        <f t="shared" si="28"/>
        <v>144.04</v>
      </c>
      <c r="J220" s="549">
        <v>1108</v>
      </c>
      <c r="K220" s="134">
        <f t="shared" si="29"/>
        <v>989.12490239469503</v>
      </c>
      <c r="L220" s="412">
        <v>778</v>
      </c>
      <c r="M220" s="412"/>
      <c r="N220" s="455"/>
      <c r="O220" s="455"/>
      <c r="P220" s="455"/>
      <c r="Q220" s="455"/>
      <c r="R220" s="455"/>
    </row>
    <row r="221" spans="1:18" ht="16.5" customHeight="1">
      <c r="A221" s="792">
        <f t="shared" si="30"/>
        <v>88</v>
      </c>
      <c r="B221" s="161" t="s">
        <v>811</v>
      </c>
      <c r="C221" s="472">
        <v>42721</v>
      </c>
      <c r="D221" s="473" t="s">
        <v>884</v>
      </c>
      <c r="E221" s="537">
        <v>50</v>
      </c>
      <c r="F221" s="538">
        <v>29.5</v>
      </c>
      <c r="G221" s="538">
        <v>19</v>
      </c>
      <c r="H221" s="574">
        <f t="shared" si="24"/>
        <v>0.84</v>
      </c>
      <c r="I221" s="134">
        <f t="shared" si="28"/>
        <v>2016</v>
      </c>
      <c r="J221" s="549">
        <v>2400</v>
      </c>
      <c r="K221" s="134">
        <f t="shared" si="29"/>
        <v>6391.2686000887979</v>
      </c>
      <c r="L221" s="412">
        <v>7500</v>
      </c>
      <c r="M221" s="412"/>
      <c r="N221" s="455"/>
      <c r="O221" s="455"/>
      <c r="P221" s="455"/>
      <c r="Q221" s="455"/>
      <c r="R221" s="455"/>
    </row>
    <row r="222" spans="1:18" ht="16.5" customHeight="1">
      <c r="A222" s="792">
        <f t="shared" si="30"/>
        <v>89</v>
      </c>
      <c r="B222" s="161" t="s">
        <v>811</v>
      </c>
      <c r="C222" s="472">
        <v>42722</v>
      </c>
      <c r="D222" s="473" t="s">
        <v>885</v>
      </c>
      <c r="E222" s="537">
        <v>50</v>
      </c>
      <c r="F222" s="538">
        <v>29.5</v>
      </c>
      <c r="G222" s="538">
        <v>19</v>
      </c>
      <c r="H222" s="574">
        <f t="shared" ref="H222:H246" si="31">IF(G222&lt;&gt;"",ROUND(((E222+F222)*2+5)*(F222+G222+3)/10000,2),ROUND(E222*F222/10000,2))</f>
        <v>0.84</v>
      </c>
      <c r="I222" s="134">
        <f t="shared" si="28"/>
        <v>2016</v>
      </c>
      <c r="J222" s="549">
        <v>2400</v>
      </c>
      <c r="K222" s="134">
        <f t="shared" si="29"/>
        <v>6391.2686000887979</v>
      </c>
      <c r="L222" s="412">
        <v>7500</v>
      </c>
      <c r="M222" s="412"/>
      <c r="N222" s="455"/>
      <c r="O222" s="455"/>
      <c r="P222" s="455"/>
      <c r="Q222" s="455"/>
      <c r="R222" s="455"/>
    </row>
    <row r="223" spans="1:18" ht="16.5" customHeight="1">
      <c r="A223" s="792">
        <f t="shared" si="30"/>
        <v>90</v>
      </c>
      <c r="B223" s="161" t="s">
        <v>811</v>
      </c>
      <c r="C223" s="472">
        <v>42723</v>
      </c>
      <c r="D223" s="473" t="s">
        <v>886</v>
      </c>
      <c r="E223" s="537">
        <v>50</v>
      </c>
      <c r="F223" s="538">
        <v>29.5</v>
      </c>
      <c r="G223" s="538">
        <v>19</v>
      </c>
      <c r="H223" s="574">
        <f t="shared" si="31"/>
        <v>0.84</v>
      </c>
      <c r="I223" s="134">
        <f t="shared" si="28"/>
        <v>2016</v>
      </c>
      <c r="J223" s="549">
        <v>2400</v>
      </c>
      <c r="K223" s="134">
        <f t="shared" si="29"/>
        <v>6391.2686000887979</v>
      </c>
      <c r="L223" s="412">
        <v>7500</v>
      </c>
      <c r="M223" s="412"/>
      <c r="N223" s="455"/>
      <c r="O223" s="455"/>
      <c r="P223" s="455"/>
      <c r="Q223" s="455"/>
      <c r="R223" s="455"/>
    </row>
    <row r="224" spans="1:18" ht="16.5" customHeight="1">
      <c r="A224" s="792">
        <f t="shared" si="30"/>
        <v>91</v>
      </c>
      <c r="B224" s="161" t="s">
        <v>689</v>
      </c>
      <c r="C224" s="472">
        <v>42724</v>
      </c>
      <c r="D224" s="473" t="s">
        <v>887</v>
      </c>
      <c r="E224" s="537">
        <v>37.5</v>
      </c>
      <c r="F224" s="538">
        <v>25.3</v>
      </c>
      <c r="G224" s="538">
        <v>23.9</v>
      </c>
      <c r="H224" s="574">
        <f t="shared" si="31"/>
        <v>0.68</v>
      </c>
      <c r="I224" s="134">
        <f t="shared" si="28"/>
        <v>592.96</v>
      </c>
      <c r="J224" s="549">
        <v>872</v>
      </c>
      <c r="K224" s="134">
        <f t="shared" si="29"/>
        <v>5173.8841048337899</v>
      </c>
      <c r="L224" s="412">
        <v>5900</v>
      </c>
      <c r="M224" s="412"/>
      <c r="N224" s="455"/>
      <c r="O224" s="455"/>
      <c r="P224" s="455"/>
      <c r="Q224" s="455"/>
      <c r="R224" s="455"/>
    </row>
    <row r="225" spans="1:18" ht="16.5" customHeight="1">
      <c r="A225" s="792">
        <f t="shared" si="30"/>
        <v>92</v>
      </c>
      <c r="B225" s="161" t="s">
        <v>891</v>
      </c>
      <c r="C225" s="472">
        <v>42724</v>
      </c>
      <c r="D225" s="473" t="s">
        <v>890</v>
      </c>
      <c r="E225" s="537">
        <v>84</v>
      </c>
      <c r="F225" s="538">
        <v>17</v>
      </c>
      <c r="G225" s="538">
        <v>84</v>
      </c>
      <c r="H225" s="574">
        <f t="shared" si="31"/>
        <v>2.15</v>
      </c>
      <c r="I225" s="134">
        <f t="shared" si="28"/>
        <v>150.5</v>
      </c>
      <c r="J225" s="549">
        <v>70</v>
      </c>
      <c r="K225" s="134">
        <f t="shared" si="29"/>
        <v>16358.604154989185</v>
      </c>
      <c r="L225" s="412">
        <v>24700</v>
      </c>
      <c r="M225" s="412"/>
      <c r="N225" s="455"/>
      <c r="O225" s="455"/>
      <c r="P225" s="455"/>
      <c r="Q225" s="455"/>
      <c r="R225" s="455"/>
    </row>
    <row r="226" spans="1:18" ht="16.5" customHeight="1">
      <c r="A226" s="792">
        <f t="shared" si="30"/>
        <v>93</v>
      </c>
      <c r="B226" s="161" t="s">
        <v>894</v>
      </c>
      <c r="C226" s="472">
        <v>42724</v>
      </c>
      <c r="D226" s="473" t="s">
        <v>893</v>
      </c>
      <c r="E226" s="537">
        <v>60</v>
      </c>
      <c r="F226" s="538">
        <v>35</v>
      </c>
      <c r="G226" s="538">
        <v>50</v>
      </c>
      <c r="H226" s="574">
        <f t="shared" si="31"/>
        <v>1.72</v>
      </c>
      <c r="I226" s="134">
        <f t="shared" si="28"/>
        <v>216.72</v>
      </c>
      <c r="J226" s="549">
        <v>126</v>
      </c>
      <c r="K226" s="134">
        <f t="shared" si="29"/>
        <v>13086.883323991349</v>
      </c>
      <c r="L226" s="412">
        <v>21900</v>
      </c>
      <c r="M226" s="412"/>
      <c r="N226" s="455"/>
      <c r="O226" s="455"/>
      <c r="P226" s="455"/>
      <c r="Q226" s="455"/>
      <c r="R226" s="455"/>
    </row>
    <row r="227" spans="1:18" ht="16.5" customHeight="1">
      <c r="A227" s="792">
        <f t="shared" si="30"/>
        <v>94</v>
      </c>
      <c r="B227" s="161" t="s">
        <v>895</v>
      </c>
      <c r="C227" s="472">
        <v>42724</v>
      </c>
      <c r="D227" s="473" t="s">
        <v>893</v>
      </c>
      <c r="E227" s="537">
        <v>30</v>
      </c>
      <c r="F227" s="538">
        <v>30</v>
      </c>
      <c r="G227" s="538"/>
      <c r="H227" s="574">
        <f t="shared" si="31"/>
        <v>0.09</v>
      </c>
      <c r="I227" s="134">
        <f t="shared" si="28"/>
        <v>11.34</v>
      </c>
      <c r="J227" s="549">
        <v>126</v>
      </c>
      <c r="K227" s="134">
        <f t="shared" si="29"/>
        <v>684.77877858094269</v>
      </c>
      <c r="L227" s="412">
        <v>800</v>
      </c>
      <c r="M227" s="412"/>
      <c r="N227" s="455"/>
      <c r="O227" s="455"/>
      <c r="P227" s="455"/>
      <c r="Q227" s="455"/>
      <c r="R227" s="455"/>
    </row>
    <row r="228" spans="1:18" ht="16.5" customHeight="1">
      <c r="A228" s="792">
        <f t="shared" si="30"/>
        <v>95</v>
      </c>
      <c r="B228" s="161" t="s">
        <v>811</v>
      </c>
      <c r="C228" s="472">
        <v>42724</v>
      </c>
      <c r="D228" s="473" t="s">
        <v>897</v>
      </c>
      <c r="E228" s="537">
        <v>50</v>
      </c>
      <c r="F228" s="538">
        <v>29.5</v>
      </c>
      <c r="G228" s="538">
        <v>19</v>
      </c>
      <c r="H228" s="574">
        <f t="shared" si="31"/>
        <v>0.84</v>
      </c>
      <c r="I228" s="134">
        <f t="shared" si="28"/>
        <v>2016</v>
      </c>
      <c r="J228" s="549">
        <v>2400</v>
      </c>
      <c r="K228" s="134">
        <f t="shared" si="29"/>
        <v>6391.2686000887979</v>
      </c>
      <c r="L228" s="412">
        <v>7500</v>
      </c>
      <c r="M228" s="412"/>
      <c r="N228" s="455"/>
      <c r="O228" s="455"/>
      <c r="P228" s="455"/>
      <c r="Q228" s="455"/>
      <c r="R228" s="455"/>
    </row>
    <row r="229" spans="1:18" ht="16.5" customHeight="1">
      <c r="A229" s="792">
        <f t="shared" si="30"/>
        <v>96</v>
      </c>
      <c r="B229" s="161" t="s">
        <v>811</v>
      </c>
      <c r="C229" s="472">
        <v>42725</v>
      </c>
      <c r="D229" s="473" t="s">
        <v>898</v>
      </c>
      <c r="E229" s="537">
        <v>50</v>
      </c>
      <c r="F229" s="538">
        <v>29.5</v>
      </c>
      <c r="G229" s="538">
        <v>19</v>
      </c>
      <c r="H229" s="574">
        <f t="shared" si="31"/>
        <v>0.84</v>
      </c>
      <c r="I229" s="134">
        <f t="shared" si="28"/>
        <v>2016</v>
      </c>
      <c r="J229" s="549">
        <v>2400</v>
      </c>
      <c r="K229" s="134">
        <f t="shared" si="29"/>
        <v>6391.2686000887979</v>
      </c>
      <c r="L229" s="412">
        <v>7500</v>
      </c>
      <c r="M229" s="412"/>
      <c r="N229" s="455"/>
      <c r="O229" s="455"/>
      <c r="P229" s="455"/>
      <c r="Q229" s="455"/>
      <c r="R229" s="455"/>
    </row>
    <row r="230" spans="1:18" ht="16.5" customHeight="1">
      <c r="A230" s="792">
        <f t="shared" si="30"/>
        <v>97</v>
      </c>
      <c r="B230" s="161" t="s">
        <v>900</v>
      </c>
      <c r="C230" s="472">
        <v>42726</v>
      </c>
      <c r="D230" s="473" t="s">
        <v>899</v>
      </c>
      <c r="E230" s="537">
        <v>48</v>
      </c>
      <c r="F230" s="538">
        <v>42</v>
      </c>
      <c r="G230" s="538">
        <v>25</v>
      </c>
      <c r="H230" s="574">
        <f t="shared" si="31"/>
        <v>1.3</v>
      </c>
      <c r="I230" s="134">
        <f t="shared" ref="I230:I261" si="32">H230*J230</f>
        <v>370.5</v>
      </c>
      <c r="J230" s="549">
        <v>285</v>
      </c>
      <c r="K230" s="134">
        <f t="shared" ref="K230:K271" si="33">H230*$R$170</f>
        <v>9891.2490239469498</v>
      </c>
      <c r="L230" s="412">
        <v>10100</v>
      </c>
      <c r="M230" s="412"/>
      <c r="N230" s="455"/>
      <c r="O230" s="455"/>
      <c r="P230" s="455"/>
      <c r="Q230" s="455"/>
      <c r="R230" s="455"/>
    </row>
    <row r="231" spans="1:18" ht="16.5" customHeight="1">
      <c r="A231" s="792">
        <f t="shared" si="30"/>
        <v>98</v>
      </c>
      <c r="B231" s="161" t="s">
        <v>901</v>
      </c>
      <c r="C231" s="472">
        <v>42726</v>
      </c>
      <c r="D231" s="473" t="s">
        <v>899</v>
      </c>
      <c r="E231" s="537">
        <v>48</v>
      </c>
      <c r="F231" s="538">
        <v>37</v>
      </c>
      <c r="G231" s="538">
        <v>31</v>
      </c>
      <c r="H231" s="574">
        <f t="shared" si="31"/>
        <v>1.24</v>
      </c>
      <c r="I231" s="134">
        <f t="shared" si="32"/>
        <v>136.4</v>
      </c>
      <c r="J231" s="549">
        <v>110</v>
      </c>
      <c r="K231" s="134">
        <f t="shared" si="33"/>
        <v>9434.7298382263216</v>
      </c>
      <c r="L231" s="412">
        <v>9640</v>
      </c>
      <c r="M231" s="412"/>
      <c r="N231" s="455"/>
      <c r="O231" s="455"/>
      <c r="P231" s="455"/>
      <c r="Q231" s="455"/>
      <c r="R231" s="455"/>
    </row>
    <row r="232" spans="1:18" ht="16.5" customHeight="1">
      <c r="A232" s="792">
        <f t="shared" si="30"/>
        <v>99</v>
      </c>
      <c r="B232" s="161" t="s">
        <v>902</v>
      </c>
      <c r="C232" s="472">
        <v>42726</v>
      </c>
      <c r="D232" s="473" t="s">
        <v>899</v>
      </c>
      <c r="E232" s="537">
        <v>42</v>
      </c>
      <c r="F232" s="538">
        <v>42</v>
      </c>
      <c r="G232" s="538">
        <v>29</v>
      </c>
      <c r="H232" s="574">
        <f t="shared" si="31"/>
        <v>1.28</v>
      </c>
      <c r="I232" s="134">
        <f t="shared" si="32"/>
        <v>204.8</v>
      </c>
      <c r="J232" s="549">
        <v>160</v>
      </c>
      <c r="K232" s="134">
        <f t="shared" si="33"/>
        <v>9739.075962040075</v>
      </c>
      <c r="L232" s="412">
        <v>9940</v>
      </c>
      <c r="M232" s="412"/>
      <c r="N232" s="455"/>
      <c r="O232" s="455"/>
      <c r="P232" s="455"/>
      <c r="Q232" s="455"/>
      <c r="R232" s="455"/>
    </row>
    <row r="233" spans="1:18" ht="16.5" customHeight="1">
      <c r="A233" s="792">
        <f t="shared" si="30"/>
        <v>100</v>
      </c>
      <c r="B233" s="161" t="s">
        <v>499</v>
      </c>
      <c r="C233" s="472">
        <v>42726</v>
      </c>
      <c r="D233" s="473" t="s">
        <v>899</v>
      </c>
      <c r="E233" s="537">
        <v>48</v>
      </c>
      <c r="F233" s="538">
        <v>41</v>
      </c>
      <c r="G233" s="538">
        <v>29</v>
      </c>
      <c r="H233" s="574">
        <f t="shared" si="31"/>
        <v>1.34</v>
      </c>
      <c r="I233" s="134">
        <f t="shared" si="32"/>
        <v>737</v>
      </c>
      <c r="J233" s="549">
        <v>550</v>
      </c>
      <c r="K233" s="134">
        <f t="shared" si="33"/>
        <v>10195.595147760703</v>
      </c>
      <c r="L233" s="412">
        <v>14500</v>
      </c>
      <c r="M233" s="412"/>
      <c r="N233" s="455"/>
      <c r="O233" s="455"/>
      <c r="P233" s="455"/>
      <c r="Q233" s="455"/>
      <c r="R233" s="455"/>
    </row>
    <row r="234" spans="1:18" ht="16.5" customHeight="1">
      <c r="A234" s="792">
        <f t="shared" si="30"/>
        <v>101</v>
      </c>
      <c r="B234" s="161" t="s">
        <v>904</v>
      </c>
      <c r="C234" s="472">
        <v>42726</v>
      </c>
      <c r="D234" s="473" t="s">
        <v>903</v>
      </c>
      <c r="E234" s="537">
        <v>53</v>
      </c>
      <c r="F234" s="538">
        <v>42</v>
      </c>
      <c r="G234" s="538">
        <v>40</v>
      </c>
      <c r="H234" s="574">
        <f t="shared" si="31"/>
        <v>1.66</v>
      </c>
      <c r="I234" s="134">
        <f t="shared" si="32"/>
        <v>456.5</v>
      </c>
      <c r="J234" s="549">
        <v>275</v>
      </c>
      <c r="K234" s="134">
        <f t="shared" si="33"/>
        <v>12630.364138270721</v>
      </c>
      <c r="L234" s="412">
        <v>18800</v>
      </c>
      <c r="M234" s="412"/>
      <c r="N234" s="455"/>
      <c r="O234" s="455"/>
      <c r="P234" s="455"/>
      <c r="Q234" s="455"/>
      <c r="R234" s="582"/>
    </row>
    <row r="235" spans="1:18" ht="16.5" customHeight="1">
      <c r="A235" s="792">
        <f t="shared" si="30"/>
        <v>102</v>
      </c>
      <c r="B235" s="161" t="s">
        <v>905</v>
      </c>
      <c r="C235" s="472">
        <v>42726</v>
      </c>
      <c r="D235" s="473" t="s">
        <v>903</v>
      </c>
      <c r="E235" s="537">
        <v>48</v>
      </c>
      <c r="F235" s="538">
        <v>41</v>
      </c>
      <c r="G235" s="538">
        <v>33</v>
      </c>
      <c r="H235" s="574">
        <f t="shared" si="31"/>
        <v>1.41</v>
      </c>
      <c r="I235" s="134">
        <f t="shared" si="32"/>
        <v>93.059999999999988</v>
      </c>
      <c r="J235" s="549">
        <v>66</v>
      </c>
      <c r="K235" s="134">
        <f t="shared" si="33"/>
        <v>10728.200864434768</v>
      </c>
      <c r="L235" s="412">
        <v>18000</v>
      </c>
      <c r="M235" s="412"/>
      <c r="N235" s="455"/>
      <c r="O235" s="455"/>
      <c r="P235" s="455"/>
      <c r="Q235" s="455"/>
      <c r="R235" s="455"/>
    </row>
    <row r="236" spans="1:18" ht="16.5" customHeight="1">
      <c r="A236" s="792">
        <f t="shared" si="30"/>
        <v>103</v>
      </c>
      <c r="B236" s="161" t="s">
        <v>499</v>
      </c>
      <c r="C236" s="472">
        <v>42726</v>
      </c>
      <c r="D236" s="473" t="s">
        <v>903</v>
      </c>
      <c r="E236" s="537">
        <v>48</v>
      </c>
      <c r="F236" s="538">
        <v>41</v>
      </c>
      <c r="G236" s="538">
        <v>29</v>
      </c>
      <c r="H236" s="574">
        <f t="shared" si="31"/>
        <v>1.34</v>
      </c>
      <c r="I236" s="134">
        <f t="shared" si="32"/>
        <v>221.10000000000002</v>
      </c>
      <c r="J236" s="549">
        <v>165</v>
      </c>
      <c r="K236" s="134">
        <f t="shared" si="33"/>
        <v>10195.595147760703</v>
      </c>
      <c r="L236" s="412">
        <v>14500</v>
      </c>
      <c r="M236" s="412"/>
      <c r="N236" s="455"/>
      <c r="O236" s="455"/>
      <c r="P236" s="455"/>
      <c r="Q236" s="455"/>
      <c r="R236" s="455"/>
    </row>
    <row r="237" spans="1:18" ht="16.5" customHeight="1">
      <c r="A237" s="792">
        <f t="shared" si="30"/>
        <v>104</v>
      </c>
      <c r="B237" s="161" t="s">
        <v>507</v>
      </c>
      <c r="C237" s="472">
        <v>42726</v>
      </c>
      <c r="D237" s="473" t="s">
        <v>903</v>
      </c>
      <c r="E237" s="537">
        <v>50</v>
      </c>
      <c r="F237" s="538">
        <v>40</v>
      </c>
      <c r="G237" s="538"/>
      <c r="H237" s="574">
        <f t="shared" si="31"/>
        <v>0.2</v>
      </c>
      <c r="I237" s="134">
        <f t="shared" si="32"/>
        <v>110</v>
      </c>
      <c r="J237" s="549">
        <v>550</v>
      </c>
      <c r="K237" s="134">
        <f t="shared" si="33"/>
        <v>1521.7306190687616</v>
      </c>
      <c r="L237" s="412">
        <v>1230</v>
      </c>
      <c r="M237" s="412"/>
      <c r="N237" s="455"/>
      <c r="O237" s="455"/>
      <c r="P237" s="455"/>
      <c r="Q237" s="455"/>
      <c r="R237" s="455"/>
    </row>
    <row r="238" spans="1:18" ht="16.5" customHeight="1">
      <c r="A238" s="792">
        <f t="shared" si="30"/>
        <v>105</v>
      </c>
      <c r="B238" s="161" t="s">
        <v>906</v>
      </c>
      <c r="C238" s="472">
        <v>42726</v>
      </c>
      <c r="D238" s="473" t="s">
        <v>903</v>
      </c>
      <c r="E238" s="537">
        <v>45</v>
      </c>
      <c r="F238" s="538">
        <v>39</v>
      </c>
      <c r="G238" s="538"/>
      <c r="H238" s="574">
        <f t="shared" si="31"/>
        <v>0.18</v>
      </c>
      <c r="I238" s="134">
        <f t="shared" si="32"/>
        <v>23.759999999999998</v>
      </c>
      <c r="J238" s="549">
        <v>132</v>
      </c>
      <c r="K238" s="134">
        <f t="shared" si="33"/>
        <v>1369.5575571618854</v>
      </c>
      <c r="L238" s="412">
        <v>1100</v>
      </c>
      <c r="M238" s="412"/>
      <c r="N238" s="455"/>
      <c r="O238" s="455"/>
      <c r="P238" s="455"/>
      <c r="Q238" s="455"/>
      <c r="R238" s="455"/>
    </row>
    <row r="239" spans="1:18" ht="16.5" customHeight="1">
      <c r="A239" s="792">
        <f t="shared" si="30"/>
        <v>106</v>
      </c>
      <c r="B239" s="161" t="s">
        <v>498</v>
      </c>
      <c r="C239" s="472">
        <v>42726</v>
      </c>
      <c r="D239" s="473" t="s">
        <v>907</v>
      </c>
      <c r="E239" s="537">
        <v>47</v>
      </c>
      <c r="F239" s="538">
        <v>42</v>
      </c>
      <c r="G239" s="538">
        <v>25</v>
      </c>
      <c r="H239" s="574">
        <f t="shared" si="31"/>
        <v>1.28</v>
      </c>
      <c r="I239" s="134">
        <f t="shared" si="32"/>
        <v>730.88</v>
      </c>
      <c r="J239" s="549">
        <v>571</v>
      </c>
      <c r="K239" s="134">
        <f t="shared" si="33"/>
        <v>9739.075962040075</v>
      </c>
      <c r="L239" s="412">
        <v>9530</v>
      </c>
      <c r="M239" s="412"/>
      <c r="N239" s="455"/>
      <c r="O239" s="455"/>
      <c r="P239" s="455"/>
      <c r="Q239" s="455"/>
      <c r="R239" s="455"/>
    </row>
    <row r="240" spans="1:18" ht="16.5" customHeight="1">
      <c r="A240" s="792">
        <f t="shared" si="30"/>
        <v>107</v>
      </c>
      <c r="B240" s="161" t="s">
        <v>498</v>
      </c>
      <c r="C240" s="472">
        <v>42726</v>
      </c>
      <c r="D240" s="473" t="s">
        <v>908</v>
      </c>
      <c r="E240" s="537">
        <v>47</v>
      </c>
      <c r="F240" s="538">
        <v>42</v>
      </c>
      <c r="G240" s="538">
        <v>25</v>
      </c>
      <c r="H240" s="574">
        <f t="shared" si="31"/>
        <v>1.28</v>
      </c>
      <c r="I240" s="134">
        <f t="shared" si="32"/>
        <v>810.24</v>
      </c>
      <c r="J240" s="549">
        <v>633</v>
      </c>
      <c r="K240" s="134">
        <f t="shared" si="33"/>
        <v>9739.075962040075</v>
      </c>
      <c r="L240" s="412">
        <v>9530</v>
      </c>
      <c r="M240" s="412"/>
      <c r="N240" s="455"/>
      <c r="O240" s="455"/>
      <c r="P240" s="455"/>
      <c r="Q240" s="455"/>
      <c r="R240" s="455"/>
    </row>
    <row r="241" spans="1:18" ht="16.5" customHeight="1">
      <c r="A241" s="792">
        <f t="shared" si="30"/>
        <v>108</v>
      </c>
      <c r="B241" s="161" t="s">
        <v>527</v>
      </c>
      <c r="C241" s="472">
        <v>42726</v>
      </c>
      <c r="D241" s="473" t="s">
        <v>909</v>
      </c>
      <c r="E241" s="537">
        <v>103</v>
      </c>
      <c r="F241" s="538">
        <v>50</v>
      </c>
      <c r="G241" s="538">
        <v>180</v>
      </c>
      <c r="H241" s="574">
        <f t="shared" si="31"/>
        <v>7.25</v>
      </c>
      <c r="I241" s="134">
        <f t="shared" si="32"/>
        <v>2088</v>
      </c>
      <c r="J241" s="549">
        <v>288</v>
      </c>
      <c r="K241" s="134">
        <f t="shared" si="33"/>
        <v>55162.734941242605</v>
      </c>
      <c r="L241" s="412">
        <v>47449</v>
      </c>
      <c r="M241" s="412"/>
      <c r="N241" s="455"/>
      <c r="O241" s="455"/>
      <c r="P241" s="455"/>
      <c r="Q241" s="455"/>
      <c r="R241" s="455"/>
    </row>
    <row r="242" spans="1:18" ht="16.5" customHeight="1">
      <c r="A242" s="792">
        <f t="shared" si="30"/>
        <v>109</v>
      </c>
      <c r="B242" s="161" t="s">
        <v>910</v>
      </c>
      <c r="C242" s="472">
        <v>42726</v>
      </c>
      <c r="D242" s="473" t="s">
        <v>909</v>
      </c>
      <c r="E242" s="537">
        <v>76</v>
      </c>
      <c r="F242" s="538">
        <v>54</v>
      </c>
      <c r="G242" s="538">
        <v>140</v>
      </c>
      <c r="H242" s="574">
        <f t="shared" si="31"/>
        <v>5.22</v>
      </c>
      <c r="I242" s="134">
        <f t="shared" si="32"/>
        <v>125.28</v>
      </c>
      <c r="J242" s="549">
        <v>24</v>
      </c>
      <c r="K242" s="134">
        <f t="shared" si="33"/>
        <v>39717.169157694676</v>
      </c>
      <c r="L242" s="412">
        <v>35000</v>
      </c>
      <c r="M242" s="412"/>
      <c r="N242" s="455"/>
      <c r="O242" s="455"/>
      <c r="P242" s="455"/>
      <c r="Q242" s="455"/>
      <c r="R242" s="455"/>
    </row>
    <row r="243" spans="1:18" ht="16.5" customHeight="1">
      <c r="A243" s="792">
        <f t="shared" si="30"/>
        <v>110</v>
      </c>
      <c r="B243" s="161" t="s">
        <v>811</v>
      </c>
      <c r="C243" s="472">
        <v>42726</v>
      </c>
      <c r="D243" s="473" t="s">
        <v>911</v>
      </c>
      <c r="E243" s="537">
        <v>50</v>
      </c>
      <c r="F243" s="538">
        <v>29.5</v>
      </c>
      <c r="G243" s="538">
        <v>19</v>
      </c>
      <c r="H243" s="574">
        <f t="shared" si="31"/>
        <v>0.84</v>
      </c>
      <c r="I243" s="134">
        <f t="shared" si="32"/>
        <v>462</v>
      </c>
      <c r="J243" s="549">
        <v>550</v>
      </c>
      <c r="K243" s="134">
        <f t="shared" si="33"/>
        <v>6391.2686000887979</v>
      </c>
      <c r="L243" s="412">
        <v>7500</v>
      </c>
      <c r="M243" s="412"/>
      <c r="N243" s="455"/>
      <c r="O243" s="455"/>
      <c r="P243" s="455"/>
      <c r="Q243" s="455"/>
      <c r="R243" s="455"/>
    </row>
    <row r="244" spans="1:18" ht="16.5" customHeight="1">
      <c r="A244" s="792">
        <f t="shared" si="30"/>
        <v>111</v>
      </c>
      <c r="B244" s="161" t="s">
        <v>811</v>
      </c>
      <c r="C244" s="472">
        <v>42727</v>
      </c>
      <c r="D244" s="473" t="s">
        <v>912</v>
      </c>
      <c r="E244" s="537">
        <v>50</v>
      </c>
      <c r="F244" s="538">
        <v>29.5</v>
      </c>
      <c r="G244" s="538">
        <v>19</v>
      </c>
      <c r="H244" s="574">
        <f t="shared" si="31"/>
        <v>0.84</v>
      </c>
      <c r="I244" s="134">
        <f t="shared" si="32"/>
        <v>2016</v>
      </c>
      <c r="J244" s="549">
        <v>2400</v>
      </c>
      <c r="K244" s="134">
        <f t="shared" si="33"/>
        <v>6391.2686000887979</v>
      </c>
      <c r="L244" s="412">
        <v>7500</v>
      </c>
      <c r="M244" s="412"/>
      <c r="N244" s="455"/>
      <c r="O244" s="455"/>
      <c r="P244" s="455"/>
      <c r="Q244" s="455"/>
      <c r="R244" s="455"/>
    </row>
    <row r="245" spans="1:18" ht="16.5" customHeight="1">
      <c r="A245" s="792">
        <f t="shared" si="30"/>
        <v>112</v>
      </c>
      <c r="B245" s="161" t="s">
        <v>914</v>
      </c>
      <c r="C245" s="472">
        <v>42728</v>
      </c>
      <c r="D245" s="473" t="s">
        <v>913</v>
      </c>
      <c r="E245" s="537">
        <v>56</v>
      </c>
      <c r="F245" s="538">
        <v>33</v>
      </c>
      <c r="G245" s="538">
        <v>26.5</v>
      </c>
      <c r="H245" s="574">
        <f t="shared" si="31"/>
        <v>1.1399999999999999</v>
      </c>
      <c r="I245" s="134">
        <f t="shared" si="32"/>
        <v>1151.3999999999999</v>
      </c>
      <c r="J245" s="549">
        <v>1010</v>
      </c>
      <c r="K245" s="134">
        <f t="shared" si="33"/>
        <v>8673.86452869194</v>
      </c>
      <c r="L245" s="412">
        <v>12700</v>
      </c>
      <c r="M245" s="412"/>
      <c r="N245" s="455"/>
      <c r="O245" s="455"/>
      <c r="P245" s="455"/>
      <c r="Q245" s="455"/>
      <c r="R245" s="455"/>
    </row>
    <row r="246" spans="1:18" ht="16.5" customHeight="1">
      <c r="A246" s="792">
        <f t="shared" si="30"/>
        <v>113</v>
      </c>
      <c r="B246" s="161" t="s">
        <v>915</v>
      </c>
      <c r="C246" s="472">
        <v>42728</v>
      </c>
      <c r="D246" s="473" t="s">
        <v>913</v>
      </c>
      <c r="E246" s="537">
        <v>55</v>
      </c>
      <c r="F246" s="538">
        <v>28.5</v>
      </c>
      <c r="G246" s="538">
        <v>25.5</v>
      </c>
      <c r="H246" s="574">
        <f t="shared" si="31"/>
        <v>0.98</v>
      </c>
      <c r="I246" s="134">
        <f t="shared" si="32"/>
        <v>985.88</v>
      </c>
      <c r="J246" s="549">
        <v>1006</v>
      </c>
      <c r="K246" s="134">
        <f t="shared" si="33"/>
        <v>7456.4800334369311</v>
      </c>
      <c r="L246" s="412">
        <v>10900</v>
      </c>
      <c r="M246" s="412"/>
      <c r="N246" s="455"/>
      <c r="O246" s="455"/>
      <c r="P246" s="455"/>
      <c r="Q246" s="455"/>
      <c r="R246" s="455"/>
    </row>
    <row r="247" spans="1:18" ht="16.5" customHeight="1">
      <c r="A247" s="792">
        <f t="shared" si="30"/>
        <v>114</v>
      </c>
      <c r="B247" s="161" t="s">
        <v>811</v>
      </c>
      <c r="C247" s="472">
        <v>42728</v>
      </c>
      <c r="D247" s="473" t="s">
        <v>916</v>
      </c>
      <c r="E247" s="537">
        <v>50</v>
      </c>
      <c r="F247" s="538">
        <v>29.5</v>
      </c>
      <c r="G247" s="538">
        <v>19</v>
      </c>
      <c r="H247" s="574">
        <f t="shared" si="24"/>
        <v>0.84</v>
      </c>
      <c r="I247" s="134">
        <f t="shared" si="32"/>
        <v>2016</v>
      </c>
      <c r="J247" s="549">
        <v>2400</v>
      </c>
      <c r="K247" s="134">
        <f t="shared" si="33"/>
        <v>6391.2686000887979</v>
      </c>
      <c r="L247" s="412">
        <v>7500</v>
      </c>
      <c r="M247" s="412"/>
      <c r="N247" s="455"/>
      <c r="O247" s="455"/>
      <c r="P247" s="455"/>
      <c r="Q247" s="455"/>
      <c r="R247" s="455"/>
    </row>
    <row r="248" spans="1:18" ht="16.5" customHeight="1">
      <c r="A248" s="792">
        <f t="shared" si="30"/>
        <v>115</v>
      </c>
      <c r="B248" s="161" t="s">
        <v>918</v>
      </c>
      <c r="C248" s="472">
        <v>42729</v>
      </c>
      <c r="D248" s="473" t="s">
        <v>917</v>
      </c>
      <c r="E248" s="537">
        <v>52.5</v>
      </c>
      <c r="F248" s="538">
        <v>31.5</v>
      </c>
      <c r="G248" s="538">
        <v>21</v>
      </c>
      <c r="H248" s="574">
        <f t="shared" si="24"/>
        <v>0.96</v>
      </c>
      <c r="I248" s="134">
        <f t="shared" si="32"/>
        <v>1027.2</v>
      </c>
      <c r="J248" s="549">
        <v>1070</v>
      </c>
      <c r="K248" s="134">
        <f t="shared" si="33"/>
        <v>7304.3069715300553</v>
      </c>
      <c r="L248" s="412">
        <v>9700</v>
      </c>
      <c r="M248" s="412"/>
      <c r="N248" s="455"/>
      <c r="O248" s="455"/>
      <c r="P248" s="455"/>
      <c r="Q248" s="455"/>
      <c r="R248" s="455"/>
    </row>
    <row r="249" spans="1:18" ht="16.5" customHeight="1">
      <c r="A249" s="792">
        <f t="shared" si="30"/>
        <v>116</v>
      </c>
      <c r="B249" s="161" t="s">
        <v>811</v>
      </c>
      <c r="C249" s="472">
        <v>42729</v>
      </c>
      <c r="D249" s="473" t="s">
        <v>920</v>
      </c>
      <c r="E249" s="537">
        <v>50</v>
      </c>
      <c r="F249" s="538">
        <v>29.5</v>
      </c>
      <c r="G249" s="538">
        <v>19</v>
      </c>
      <c r="H249" s="574">
        <f t="shared" si="24"/>
        <v>0.84</v>
      </c>
      <c r="I249" s="134">
        <f t="shared" si="32"/>
        <v>2016</v>
      </c>
      <c r="J249" s="549">
        <v>2400</v>
      </c>
      <c r="K249" s="134">
        <f t="shared" si="33"/>
        <v>6391.2686000887979</v>
      </c>
      <c r="L249" s="412">
        <v>7500</v>
      </c>
      <c r="M249" s="412"/>
      <c r="N249" s="455"/>
      <c r="O249" s="455"/>
      <c r="P249" s="455"/>
      <c r="Q249" s="455"/>
      <c r="R249" s="455"/>
    </row>
    <row r="250" spans="1:18" ht="16.5" customHeight="1">
      <c r="A250" s="792">
        <f t="shared" si="30"/>
        <v>117</v>
      </c>
      <c r="B250" s="161" t="s">
        <v>811</v>
      </c>
      <c r="C250" s="472">
        <v>42730</v>
      </c>
      <c r="D250" s="473" t="s">
        <v>921</v>
      </c>
      <c r="E250" s="537">
        <v>50</v>
      </c>
      <c r="F250" s="538">
        <v>29.5</v>
      </c>
      <c r="G250" s="538">
        <v>19</v>
      </c>
      <c r="H250" s="574">
        <f t="shared" si="24"/>
        <v>0.84</v>
      </c>
      <c r="I250" s="134">
        <f t="shared" si="32"/>
        <v>1008</v>
      </c>
      <c r="J250" s="549">
        <v>1200</v>
      </c>
      <c r="K250" s="134">
        <f t="shared" si="33"/>
        <v>6391.2686000887979</v>
      </c>
      <c r="L250" s="412">
        <v>7500</v>
      </c>
      <c r="M250" s="412"/>
      <c r="N250" s="455"/>
      <c r="O250" s="455"/>
      <c r="P250" s="455"/>
      <c r="Q250" s="455"/>
      <c r="R250" s="455"/>
    </row>
    <row r="251" spans="1:18" ht="16.5" customHeight="1">
      <c r="A251" s="792">
        <f t="shared" si="30"/>
        <v>118</v>
      </c>
      <c r="B251" s="161" t="s">
        <v>811</v>
      </c>
      <c r="C251" s="472">
        <v>42731</v>
      </c>
      <c r="D251" s="473" t="s">
        <v>922</v>
      </c>
      <c r="E251" s="537">
        <v>50</v>
      </c>
      <c r="F251" s="538">
        <v>29.5</v>
      </c>
      <c r="G251" s="538">
        <v>19</v>
      </c>
      <c r="H251" s="574">
        <f t="shared" si="24"/>
        <v>0.84</v>
      </c>
      <c r="I251" s="134">
        <f t="shared" si="32"/>
        <v>1159.2</v>
      </c>
      <c r="J251" s="549">
        <v>1380</v>
      </c>
      <c r="K251" s="134">
        <f t="shared" si="33"/>
        <v>6391.2686000887979</v>
      </c>
      <c r="L251" s="412">
        <v>7500</v>
      </c>
      <c r="M251" s="412"/>
      <c r="N251" s="455"/>
      <c r="O251" s="455"/>
      <c r="P251" s="455"/>
      <c r="Q251" s="455"/>
      <c r="R251" s="455"/>
    </row>
    <row r="252" spans="1:18" ht="16.5" customHeight="1">
      <c r="A252" s="792">
        <f t="shared" si="30"/>
        <v>119</v>
      </c>
      <c r="B252" s="161" t="s">
        <v>811</v>
      </c>
      <c r="C252" s="472">
        <v>42732</v>
      </c>
      <c r="D252" s="473" t="s">
        <v>923</v>
      </c>
      <c r="E252" s="537">
        <v>50</v>
      </c>
      <c r="F252" s="538">
        <v>29.5</v>
      </c>
      <c r="G252" s="538">
        <v>19</v>
      </c>
      <c r="H252" s="574">
        <f t="shared" si="24"/>
        <v>0.84</v>
      </c>
      <c r="I252" s="134">
        <f t="shared" si="32"/>
        <v>1705.2</v>
      </c>
      <c r="J252" s="549">
        <v>2030</v>
      </c>
      <c r="K252" s="134">
        <f t="shared" si="33"/>
        <v>6391.2686000887979</v>
      </c>
      <c r="L252" s="412">
        <v>7500</v>
      </c>
      <c r="M252" s="412"/>
      <c r="N252" s="455"/>
      <c r="O252" s="455"/>
      <c r="P252" s="455"/>
      <c r="Q252" s="455"/>
      <c r="R252" s="455"/>
    </row>
    <row r="253" spans="1:18" ht="16.5" customHeight="1">
      <c r="A253" s="792">
        <f t="shared" si="30"/>
        <v>120</v>
      </c>
      <c r="B253" s="161" t="s">
        <v>959</v>
      </c>
      <c r="C253" s="472">
        <v>42732</v>
      </c>
      <c r="D253" s="473" t="s">
        <v>958</v>
      </c>
      <c r="E253" s="537">
        <v>51</v>
      </c>
      <c r="F253" s="538">
        <v>37</v>
      </c>
      <c r="G253" s="538">
        <v>27</v>
      </c>
      <c r="H253" s="574">
        <f t="shared" si="24"/>
        <v>1.21</v>
      </c>
      <c r="I253" s="134">
        <f t="shared" si="32"/>
        <v>227.48</v>
      </c>
      <c r="J253" s="549">
        <v>188</v>
      </c>
      <c r="K253" s="134">
        <f t="shared" si="33"/>
        <v>9206.4702453660066</v>
      </c>
      <c r="L253" s="412">
        <v>14000</v>
      </c>
      <c r="M253" s="412"/>
      <c r="N253" s="455"/>
      <c r="O253" s="455"/>
      <c r="P253" s="455"/>
      <c r="Q253" s="455"/>
      <c r="R253" s="455"/>
    </row>
    <row r="254" spans="1:18" ht="16.5" customHeight="1">
      <c r="A254" s="792">
        <f t="shared" si="30"/>
        <v>121</v>
      </c>
      <c r="B254" s="161" t="s">
        <v>509</v>
      </c>
      <c r="C254" s="472">
        <v>42732</v>
      </c>
      <c r="D254" s="473" t="s">
        <v>925</v>
      </c>
      <c r="E254" s="537">
        <v>49.5</v>
      </c>
      <c r="F254" s="538">
        <v>38.5</v>
      </c>
      <c r="G254" s="538">
        <v>32.5</v>
      </c>
      <c r="H254" s="574">
        <f t="shared" si="24"/>
        <v>1.34</v>
      </c>
      <c r="I254" s="134">
        <f t="shared" si="32"/>
        <v>280.06</v>
      </c>
      <c r="J254" s="549">
        <v>209</v>
      </c>
      <c r="K254" s="134">
        <f t="shared" si="33"/>
        <v>10195.595147760703</v>
      </c>
      <c r="L254" s="412">
        <v>12900</v>
      </c>
      <c r="M254" s="412"/>
      <c r="N254" s="455"/>
      <c r="O254" s="455"/>
      <c r="P254" s="455"/>
      <c r="Q254" s="455"/>
      <c r="R254" s="455"/>
    </row>
    <row r="255" spans="1:18" ht="16.5" customHeight="1">
      <c r="A255" s="792">
        <f t="shared" si="30"/>
        <v>122</v>
      </c>
      <c r="B255" s="161" t="s">
        <v>926</v>
      </c>
      <c r="C255" s="472">
        <v>42732</v>
      </c>
      <c r="D255" s="473" t="s">
        <v>924</v>
      </c>
      <c r="E255" s="537">
        <v>60</v>
      </c>
      <c r="F255" s="538">
        <v>40</v>
      </c>
      <c r="G255" s="538">
        <v>28</v>
      </c>
      <c r="H255" s="574">
        <f t="shared" si="24"/>
        <v>1.46</v>
      </c>
      <c r="I255" s="134">
        <f t="shared" si="32"/>
        <v>356.24</v>
      </c>
      <c r="J255" s="549">
        <v>244</v>
      </c>
      <c r="K255" s="134">
        <f t="shared" si="33"/>
        <v>11108.63351920196</v>
      </c>
      <c r="L255" s="412">
        <v>22848</v>
      </c>
      <c r="M255" s="412"/>
      <c r="N255" s="455"/>
      <c r="O255" s="455"/>
      <c r="P255" s="455"/>
      <c r="Q255" s="455"/>
      <c r="R255" s="455"/>
    </row>
    <row r="256" spans="1:18" ht="16.5" customHeight="1">
      <c r="A256" s="792">
        <f t="shared" si="30"/>
        <v>123</v>
      </c>
      <c r="B256" s="161" t="s">
        <v>927</v>
      </c>
      <c r="C256" s="472">
        <v>42732</v>
      </c>
      <c r="D256" s="473" t="s">
        <v>924</v>
      </c>
      <c r="E256" s="537">
        <v>60</v>
      </c>
      <c r="F256" s="538">
        <v>40</v>
      </c>
      <c r="G256" s="538">
        <v>24</v>
      </c>
      <c r="H256" s="574">
        <f t="shared" si="24"/>
        <v>1.37</v>
      </c>
      <c r="I256" s="134">
        <f t="shared" si="32"/>
        <v>334.28000000000003</v>
      </c>
      <c r="J256" s="549">
        <v>244</v>
      </c>
      <c r="K256" s="134">
        <f t="shared" si="33"/>
        <v>10423.854740621018</v>
      </c>
      <c r="L256" s="412">
        <v>21542</v>
      </c>
      <c r="M256" s="412"/>
      <c r="N256" s="455"/>
      <c r="O256" s="455"/>
      <c r="P256" s="455"/>
      <c r="Q256" s="455"/>
      <c r="R256" s="455"/>
    </row>
    <row r="257" spans="1:18" ht="16.5" customHeight="1">
      <c r="A257" s="792">
        <f t="shared" si="30"/>
        <v>124</v>
      </c>
      <c r="B257" s="161" t="s">
        <v>928</v>
      </c>
      <c r="C257" s="472">
        <v>42732</v>
      </c>
      <c r="D257" s="473" t="s">
        <v>924</v>
      </c>
      <c r="E257" s="537">
        <v>58</v>
      </c>
      <c r="F257" s="538">
        <v>26</v>
      </c>
      <c r="G257" s="538"/>
      <c r="H257" s="574">
        <f t="shared" si="24"/>
        <v>0.15</v>
      </c>
      <c r="I257" s="134">
        <f t="shared" si="32"/>
        <v>36.6</v>
      </c>
      <c r="J257" s="549">
        <v>244</v>
      </c>
      <c r="K257" s="134">
        <f t="shared" si="33"/>
        <v>1141.297964301571</v>
      </c>
      <c r="L257" s="412">
        <v>905</v>
      </c>
      <c r="M257" s="412"/>
      <c r="N257" s="455"/>
      <c r="O257" s="455"/>
      <c r="P257" s="455"/>
      <c r="Q257" s="455"/>
      <c r="R257" s="455"/>
    </row>
    <row r="258" spans="1:18" ht="16.5" customHeight="1">
      <c r="A258" s="792">
        <f t="shared" si="30"/>
        <v>125</v>
      </c>
      <c r="B258" s="161" t="s">
        <v>929</v>
      </c>
      <c r="C258" s="472">
        <v>42732</v>
      </c>
      <c r="D258" s="473" t="s">
        <v>924</v>
      </c>
      <c r="E258" s="537">
        <v>58</v>
      </c>
      <c r="F258" s="538">
        <v>22</v>
      </c>
      <c r="G258" s="538"/>
      <c r="H258" s="574">
        <f t="shared" ref="H258:H271" si="34">IF(G258&lt;&gt;"",ROUND(((E258+F258)*2+5)*(F258+G258+3)/10000,2),ROUND(E258*F258/10000,2))</f>
        <v>0.13</v>
      </c>
      <c r="I258" s="134">
        <f t="shared" si="32"/>
        <v>31.720000000000002</v>
      </c>
      <c r="J258" s="549">
        <v>244</v>
      </c>
      <c r="K258" s="134">
        <f t="shared" si="33"/>
        <v>989.12490239469503</v>
      </c>
      <c r="L258" s="412">
        <v>766</v>
      </c>
      <c r="M258" s="412"/>
      <c r="N258" s="455"/>
      <c r="O258" s="455"/>
      <c r="P258" s="455"/>
      <c r="Q258" s="455"/>
      <c r="R258" s="455"/>
    </row>
    <row r="259" spans="1:18" ht="16.5" customHeight="1">
      <c r="A259" s="792">
        <f t="shared" si="30"/>
        <v>126</v>
      </c>
      <c r="B259" s="161" t="s">
        <v>930</v>
      </c>
      <c r="C259" s="472">
        <v>42732</v>
      </c>
      <c r="D259" s="473" t="s">
        <v>924</v>
      </c>
      <c r="E259" s="537">
        <v>38</v>
      </c>
      <c r="F259" s="538">
        <v>26</v>
      </c>
      <c r="G259" s="538"/>
      <c r="H259" s="574">
        <f t="shared" si="34"/>
        <v>0.1</v>
      </c>
      <c r="I259" s="134">
        <f t="shared" si="32"/>
        <v>24.400000000000002</v>
      </c>
      <c r="J259" s="549">
        <v>244</v>
      </c>
      <c r="K259" s="134">
        <f t="shared" si="33"/>
        <v>760.8653095343808</v>
      </c>
      <c r="L259" s="412">
        <v>593</v>
      </c>
      <c r="M259" s="412"/>
      <c r="N259" s="455"/>
      <c r="O259" s="455"/>
      <c r="P259" s="455"/>
      <c r="Q259" s="455"/>
      <c r="R259" s="455"/>
    </row>
    <row r="260" spans="1:18" ht="16.5" customHeight="1">
      <c r="A260" s="792">
        <f t="shared" si="30"/>
        <v>127</v>
      </c>
      <c r="B260" s="161" t="s">
        <v>931</v>
      </c>
      <c r="C260" s="472">
        <v>42732</v>
      </c>
      <c r="D260" s="473" t="s">
        <v>924</v>
      </c>
      <c r="E260" s="537">
        <v>38</v>
      </c>
      <c r="F260" s="538">
        <v>22</v>
      </c>
      <c r="G260" s="538"/>
      <c r="H260" s="574">
        <f t="shared" si="34"/>
        <v>0.08</v>
      </c>
      <c r="I260" s="134">
        <f t="shared" si="32"/>
        <v>19.52</v>
      </c>
      <c r="J260" s="549">
        <v>244</v>
      </c>
      <c r="K260" s="134">
        <f t="shared" si="33"/>
        <v>608.69224762750468</v>
      </c>
      <c r="L260" s="412">
        <v>502</v>
      </c>
      <c r="M260" s="412"/>
      <c r="N260" s="455"/>
      <c r="O260" s="455"/>
      <c r="P260" s="455"/>
      <c r="Q260" s="455"/>
      <c r="R260" s="455"/>
    </row>
    <row r="261" spans="1:18" ht="16.5" customHeight="1">
      <c r="A261" s="792">
        <f t="shared" si="30"/>
        <v>128</v>
      </c>
      <c r="B261" s="161" t="s">
        <v>935</v>
      </c>
      <c r="C261" s="472">
        <v>42733</v>
      </c>
      <c r="D261" s="473" t="s">
        <v>932</v>
      </c>
      <c r="E261" s="537">
        <v>17</v>
      </c>
      <c r="F261" s="538">
        <v>63</v>
      </c>
      <c r="G261" s="538"/>
      <c r="H261" s="574">
        <f t="shared" si="34"/>
        <v>0.11</v>
      </c>
      <c r="I261" s="134">
        <f t="shared" si="32"/>
        <v>71.5</v>
      </c>
      <c r="J261" s="549">
        <v>650</v>
      </c>
      <c r="K261" s="134">
        <f t="shared" si="33"/>
        <v>836.95184048781891</v>
      </c>
      <c r="L261" s="412">
        <v>4500</v>
      </c>
      <c r="M261" s="412"/>
      <c r="N261" s="455"/>
      <c r="O261" s="455"/>
      <c r="P261" s="455"/>
      <c r="Q261" s="455"/>
      <c r="R261" s="455"/>
    </row>
    <row r="262" spans="1:18" ht="16.5" customHeight="1">
      <c r="A262" s="792">
        <f t="shared" si="30"/>
        <v>129</v>
      </c>
      <c r="B262" s="161" t="s">
        <v>522</v>
      </c>
      <c r="C262" s="472">
        <v>42734</v>
      </c>
      <c r="D262" s="473" t="s">
        <v>934</v>
      </c>
      <c r="E262" s="537">
        <v>36.5</v>
      </c>
      <c r="F262" s="538">
        <v>26.5</v>
      </c>
      <c r="G262" s="538">
        <v>26</v>
      </c>
      <c r="H262" s="574">
        <f t="shared" si="34"/>
        <v>0.73</v>
      </c>
      <c r="I262" s="134">
        <f t="shared" ref="I262:I271" si="35">H262*J262</f>
        <v>383.25</v>
      </c>
      <c r="J262" s="549">
        <v>525</v>
      </c>
      <c r="K262" s="134">
        <f t="shared" si="33"/>
        <v>5554.3167596009798</v>
      </c>
      <c r="L262" s="412">
        <v>11000</v>
      </c>
      <c r="M262" s="412"/>
      <c r="N262" s="455"/>
      <c r="O262" s="455"/>
      <c r="P262" s="455"/>
      <c r="Q262" s="455"/>
      <c r="R262" s="455"/>
    </row>
    <row r="263" spans="1:18" ht="16.5" customHeight="1">
      <c r="A263" s="792">
        <f t="shared" si="30"/>
        <v>130</v>
      </c>
      <c r="B263" s="111" t="s">
        <v>1083</v>
      </c>
      <c r="C263" s="472">
        <v>42734</v>
      </c>
      <c r="D263" s="473" t="s">
        <v>1081</v>
      </c>
      <c r="E263" s="537">
        <v>58</v>
      </c>
      <c r="F263" s="538">
        <v>48</v>
      </c>
      <c r="G263" s="538"/>
      <c r="H263" s="574">
        <f t="shared" ref="H263:H269" si="36">IF(G263&lt;&gt;"",ROUND(((E263+F263)*2+5)*(F263+G263+3)/10000,2),ROUND(E263*F263/10000,2))</f>
        <v>0.28000000000000003</v>
      </c>
      <c r="I263" s="134">
        <f t="shared" ref="I263:I269" si="37">H263*J263</f>
        <v>2030.0000000000002</v>
      </c>
      <c r="J263" s="549">
        <v>7250</v>
      </c>
      <c r="K263" s="134">
        <f t="shared" ref="K263:K269" si="38">H263*$R$170</f>
        <v>2130.4228666962663</v>
      </c>
      <c r="L263" s="412">
        <v>1392</v>
      </c>
      <c r="M263" s="412"/>
      <c r="N263" s="455"/>
      <c r="O263" s="455"/>
      <c r="P263" s="455"/>
      <c r="Q263" s="455"/>
      <c r="R263" s="455"/>
    </row>
    <row r="264" spans="1:18" ht="16.5" customHeight="1">
      <c r="A264" s="792">
        <f t="shared" si="30"/>
        <v>131</v>
      </c>
      <c r="B264" s="111" t="s">
        <v>1084</v>
      </c>
      <c r="C264" s="472">
        <v>42734</v>
      </c>
      <c r="D264" s="473" t="s">
        <v>1081</v>
      </c>
      <c r="E264" s="537">
        <v>58</v>
      </c>
      <c r="F264" s="538">
        <v>38</v>
      </c>
      <c r="G264" s="538"/>
      <c r="H264" s="574">
        <f t="shared" si="36"/>
        <v>0.22</v>
      </c>
      <c r="I264" s="134">
        <f t="shared" si="37"/>
        <v>2140.6</v>
      </c>
      <c r="J264" s="549">
        <v>9730</v>
      </c>
      <c r="K264" s="134">
        <f t="shared" si="38"/>
        <v>1673.9036809756378</v>
      </c>
      <c r="L264" s="412">
        <v>1102</v>
      </c>
      <c r="M264" s="412"/>
      <c r="N264" s="455"/>
      <c r="O264" s="455"/>
      <c r="P264" s="455"/>
      <c r="Q264" s="455"/>
      <c r="R264" s="455"/>
    </row>
    <row r="265" spans="1:18" ht="16.5" customHeight="1">
      <c r="A265" s="792">
        <f t="shared" si="30"/>
        <v>132</v>
      </c>
      <c r="B265" s="111" t="s">
        <v>1085</v>
      </c>
      <c r="C265" s="472">
        <v>42734</v>
      </c>
      <c r="D265" s="473" t="s">
        <v>1081</v>
      </c>
      <c r="E265" s="538">
        <v>25</v>
      </c>
      <c r="F265" s="538">
        <v>20</v>
      </c>
      <c r="G265" s="538"/>
      <c r="H265" s="574">
        <f t="shared" si="36"/>
        <v>0.05</v>
      </c>
      <c r="I265" s="134">
        <f t="shared" si="37"/>
        <v>18.75</v>
      </c>
      <c r="J265" s="549">
        <v>375</v>
      </c>
      <c r="K265" s="134">
        <f t="shared" si="38"/>
        <v>380.4326547671904</v>
      </c>
      <c r="L265" s="412">
        <v>5348</v>
      </c>
      <c r="M265" s="412"/>
      <c r="N265" s="455"/>
      <c r="O265" s="455"/>
      <c r="P265" s="455"/>
      <c r="Q265" s="455"/>
      <c r="R265" s="455"/>
    </row>
    <row r="266" spans="1:18" ht="16.5" customHeight="1">
      <c r="A266" s="792">
        <f t="shared" si="30"/>
        <v>133</v>
      </c>
      <c r="B266" s="111" t="s">
        <v>1086</v>
      </c>
      <c r="C266" s="472">
        <v>42734</v>
      </c>
      <c r="D266" s="473" t="s">
        <v>1081</v>
      </c>
      <c r="E266" s="537">
        <v>120</v>
      </c>
      <c r="F266" s="538">
        <v>240</v>
      </c>
      <c r="G266" s="538"/>
      <c r="H266" s="574">
        <f t="shared" si="36"/>
        <v>2.88</v>
      </c>
      <c r="I266" s="134">
        <f t="shared" si="37"/>
        <v>1440</v>
      </c>
      <c r="J266" s="549">
        <v>500</v>
      </c>
      <c r="K266" s="134">
        <f t="shared" si="38"/>
        <v>21912.920914590166</v>
      </c>
      <c r="L266" s="412">
        <v>14400</v>
      </c>
      <c r="M266" s="412"/>
      <c r="N266" s="455"/>
      <c r="O266" s="455"/>
      <c r="P266" s="455"/>
      <c r="Q266" s="455"/>
      <c r="R266" s="455"/>
    </row>
    <row r="267" spans="1:18" ht="16.5" customHeight="1">
      <c r="A267" s="792">
        <f t="shared" si="30"/>
        <v>134</v>
      </c>
      <c r="B267" s="111" t="s">
        <v>1087</v>
      </c>
      <c r="C267" s="472">
        <v>42734</v>
      </c>
      <c r="D267" s="473" t="s">
        <v>1081</v>
      </c>
      <c r="E267" s="537">
        <v>41</v>
      </c>
      <c r="F267" s="538">
        <v>40</v>
      </c>
      <c r="G267" s="538"/>
      <c r="H267" s="574">
        <f t="shared" si="36"/>
        <v>0.16</v>
      </c>
      <c r="I267" s="134">
        <f t="shared" si="37"/>
        <v>380</v>
      </c>
      <c r="J267" s="549">
        <v>2375</v>
      </c>
      <c r="K267" s="134">
        <f t="shared" si="38"/>
        <v>1217.3844952550094</v>
      </c>
      <c r="L267" s="412">
        <v>820</v>
      </c>
      <c r="M267" s="412"/>
      <c r="N267" s="455"/>
      <c r="O267" s="455"/>
      <c r="P267" s="455"/>
      <c r="Q267" s="455"/>
      <c r="R267" s="455"/>
    </row>
    <row r="268" spans="1:18" ht="16.5" customHeight="1">
      <c r="A268" s="792">
        <f t="shared" si="30"/>
        <v>135</v>
      </c>
      <c r="B268" s="111" t="s">
        <v>1088</v>
      </c>
      <c r="C268" s="472">
        <v>42734</v>
      </c>
      <c r="D268" s="473" t="s">
        <v>1081</v>
      </c>
      <c r="E268" s="537">
        <v>88</v>
      </c>
      <c r="F268" s="538">
        <v>41</v>
      </c>
      <c r="G268" s="538"/>
      <c r="H268" s="574">
        <f t="shared" si="36"/>
        <v>0.36</v>
      </c>
      <c r="I268" s="134">
        <f t="shared" si="37"/>
        <v>72</v>
      </c>
      <c r="J268" s="549">
        <v>200</v>
      </c>
      <c r="K268" s="134">
        <f t="shared" si="38"/>
        <v>2739.1151143237707</v>
      </c>
      <c r="L268" s="412">
        <v>1804</v>
      </c>
      <c r="M268" s="412"/>
      <c r="N268" s="455"/>
      <c r="O268" s="455"/>
      <c r="P268" s="455"/>
      <c r="Q268" s="455"/>
      <c r="R268" s="455"/>
    </row>
    <row r="269" spans="1:18" ht="16.5" customHeight="1">
      <c r="A269" s="792">
        <f t="shared" si="30"/>
        <v>136</v>
      </c>
      <c r="B269" s="111" t="s">
        <v>1089</v>
      </c>
      <c r="C269" s="472">
        <v>42734</v>
      </c>
      <c r="D269" s="473" t="s">
        <v>1081</v>
      </c>
      <c r="E269" s="537">
        <v>47</v>
      </c>
      <c r="F269" s="538">
        <v>30</v>
      </c>
      <c r="G269" s="538"/>
      <c r="H269" s="574">
        <f t="shared" si="36"/>
        <v>0.14000000000000001</v>
      </c>
      <c r="I269" s="134">
        <f t="shared" si="37"/>
        <v>280</v>
      </c>
      <c r="J269" s="549">
        <v>2000</v>
      </c>
      <c r="K269" s="134">
        <f t="shared" si="38"/>
        <v>1065.2114333481331</v>
      </c>
      <c r="L269" s="412">
        <v>705</v>
      </c>
      <c r="M269" s="412"/>
      <c r="N269" s="455"/>
      <c r="O269" s="455"/>
      <c r="P269" s="455"/>
      <c r="Q269" s="455"/>
      <c r="R269" s="455"/>
    </row>
    <row r="270" spans="1:18" ht="16.5" customHeight="1">
      <c r="A270" s="792">
        <f t="shared" si="30"/>
        <v>137</v>
      </c>
      <c r="B270" s="161" t="s">
        <v>500</v>
      </c>
      <c r="C270" s="472">
        <v>42735</v>
      </c>
      <c r="D270" s="473" t="s">
        <v>942</v>
      </c>
      <c r="E270" s="537">
        <v>45</v>
      </c>
      <c r="F270" s="538">
        <v>37</v>
      </c>
      <c r="G270" s="538">
        <v>27.5</v>
      </c>
      <c r="H270" s="574">
        <f t="shared" si="34"/>
        <v>1.1399999999999999</v>
      </c>
      <c r="I270" s="134">
        <f t="shared" si="35"/>
        <v>2061.12</v>
      </c>
      <c r="J270" s="549">
        <v>1808</v>
      </c>
      <c r="K270" s="134">
        <f t="shared" si="33"/>
        <v>8673.86452869194</v>
      </c>
      <c r="L270" s="412">
        <v>13800</v>
      </c>
      <c r="M270" s="412"/>
      <c r="N270" s="455"/>
      <c r="O270" s="455"/>
      <c r="P270" s="455"/>
      <c r="Q270" s="455"/>
      <c r="R270" s="455"/>
    </row>
    <row r="271" spans="1:18" ht="16.5" customHeight="1">
      <c r="A271" s="792">
        <f t="shared" si="30"/>
        <v>138</v>
      </c>
      <c r="B271" s="161" t="s">
        <v>375</v>
      </c>
      <c r="C271" s="472">
        <v>42735</v>
      </c>
      <c r="D271" s="473" t="s">
        <v>942</v>
      </c>
      <c r="E271" s="537">
        <v>44</v>
      </c>
      <c r="F271" s="538">
        <v>20</v>
      </c>
      <c r="G271" s="538"/>
      <c r="H271" s="574">
        <f t="shared" si="34"/>
        <v>0.09</v>
      </c>
      <c r="I271" s="134">
        <f t="shared" si="35"/>
        <v>325.44</v>
      </c>
      <c r="J271" s="549">
        <v>3616</v>
      </c>
      <c r="K271" s="134">
        <f t="shared" si="33"/>
        <v>684.77877858094269</v>
      </c>
      <c r="L271" s="412">
        <v>1300</v>
      </c>
      <c r="M271" s="412"/>
      <c r="N271" s="455"/>
      <c r="O271" s="455"/>
      <c r="P271" s="455"/>
      <c r="Q271" s="455"/>
      <c r="R271" s="583"/>
    </row>
    <row r="272" spans="1:18" ht="16.5" customHeight="1">
      <c r="A272" s="793" t="str">
        <f t="shared" ref="A272" si="39">IF(B272&lt;&gt;"",ROW()-133,"")</f>
        <v/>
      </c>
      <c r="B272" s="483"/>
      <c r="C272" s="472"/>
      <c r="D272" s="473"/>
      <c r="E272" s="539"/>
      <c r="F272" s="540"/>
      <c r="G272" s="541"/>
      <c r="H272" s="484"/>
      <c r="I272" s="485"/>
      <c r="J272" s="485"/>
      <c r="K272" s="484"/>
      <c r="L272" s="412"/>
      <c r="M272" s="412"/>
      <c r="N272" s="455"/>
      <c r="O272" s="455"/>
      <c r="P272" s="455"/>
      <c r="Q272" s="455"/>
      <c r="R272" s="455"/>
    </row>
    <row r="273" spans="1:18" ht="16.5" customHeight="1">
      <c r="A273" s="460"/>
      <c r="B273" s="460" t="s">
        <v>235</v>
      </c>
      <c r="C273" s="478"/>
      <c r="D273" s="479"/>
      <c r="E273" s="527"/>
      <c r="F273" s="527"/>
      <c r="G273" s="527"/>
      <c r="H273" s="530">
        <f>ROUND(SUM(H134:H272),2)</f>
        <v>204.74</v>
      </c>
      <c r="I273" s="346">
        <f>ROUND(SUM(I134:I272),2)</f>
        <v>122547.13</v>
      </c>
      <c r="J273" s="346">
        <f>ROUND(SUM(J134:J272),2)</f>
        <v>153709</v>
      </c>
      <c r="K273" s="346"/>
      <c r="L273" s="467"/>
      <c r="M273" s="412"/>
      <c r="N273" s="455"/>
      <c r="O273" s="455"/>
      <c r="P273" s="455"/>
      <c r="Q273" s="455"/>
      <c r="R273" s="583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93" customWidth="1"/>
    <col min="2" max="2" width="15.7109375" style="393" customWidth="1"/>
    <col min="3" max="3" width="16.85546875" style="393" customWidth="1"/>
    <col min="4" max="9" width="15.28515625" style="393" customWidth="1"/>
    <col min="10" max="10" width="10.140625" style="393" customWidth="1"/>
    <col min="11" max="11" width="5.85546875" style="393" customWidth="1"/>
    <col min="12" max="16384" width="10.28515625" style="393"/>
  </cols>
  <sheetData>
    <row r="1" spans="1:11" s="279" customFormat="1" ht="19.5" customHeight="1">
      <c r="A1" s="380" t="str">
        <f>TH!A1</f>
        <v>Đơn vị: CÔNG TY TNHH BAO BÌ GIẤY KIM DUNG PHÁT</v>
      </c>
      <c r="B1" s="380"/>
      <c r="D1" s="280"/>
      <c r="E1" s="280"/>
      <c r="F1" s="280"/>
      <c r="G1" s="948" t="s">
        <v>236</v>
      </c>
      <c r="H1" s="948"/>
      <c r="I1" s="948"/>
      <c r="J1" s="281"/>
      <c r="K1" s="282"/>
    </row>
    <row r="2" spans="1:11" s="279" customFormat="1" ht="19.5" customHeight="1">
      <c r="A2" s="407" t="str">
        <f>TH!A2</f>
        <v>Địa chỉ: Ấp Rừng Sến, xã Mỹ Hạnh Bắc, Huyện Đức Hòa, Tỉnh Long An, Việt Nam</v>
      </c>
      <c r="B2" s="380"/>
      <c r="D2" s="283"/>
      <c r="E2" s="283"/>
      <c r="F2" s="283"/>
      <c r="G2" s="949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49"/>
      <c r="I2" s="949"/>
      <c r="J2" s="281"/>
      <c r="K2" s="273">
        <v>1</v>
      </c>
    </row>
    <row r="3" spans="1:11" s="279" customFormat="1" ht="15">
      <c r="A3" s="381"/>
      <c r="B3" s="382"/>
      <c r="C3" s="283"/>
      <c r="D3" s="283"/>
      <c r="E3" s="283"/>
      <c r="F3" s="283"/>
      <c r="G3" s="949"/>
      <c r="H3" s="949"/>
      <c r="I3" s="949"/>
      <c r="J3" s="281"/>
    </row>
    <row r="4" spans="1:11" s="384" customFormat="1" ht="17.25" customHeight="1">
      <c r="A4" s="950" t="s">
        <v>237</v>
      </c>
      <c r="B4" s="950"/>
      <c r="C4" s="950"/>
      <c r="D4" s="950"/>
      <c r="E4" s="950"/>
      <c r="F4" s="950"/>
      <c r="G4" s="950"/>
      <c r="H4" s="950"/>
      <c r="I4" s="950"/>
      <c r="J4" s="383"/>
    </row>
    <row r="5" spans="1:11" s="385" customFormat="1" ht="17.25" customHeight="1">
      <c r="B5" s="386"/>
      <c r="C5" s="387" t="s">
        <v>327</v>
      </c>
      <c r="D5" s="386" t="str">
        <f>IF($K$2&lt;10,"0"&amp;$K$2&amp;"  năm 2011",$K$2&amp;"  năm 2011")</f>
        <v>01  năm 2011</v>
      </c>
      <c r="E5" s="386"/>
      <c r="F5" s="386"/>
      <c r="G5" s="386"/>
      <c r="H5" s="386"/>
      <c r="I5" s="386"/>
      <c r="J5" s="386"/>
    </row>
    <row r="6" spans="1:11" s="385" customFormat="1" ht="17.25" customHeight="1">
      <c r="B6" s="388"/>
      <c r="C6" s="951" t="s">
        <v>238</v>
      </c>
      <c r="D6" s="951"/>
      <c r="E6" s="952"/>
      <c r="F6" s="952"/>
      <c r="G6" s="952"/>
      <c r="H6" s="446"/>
      <c r="I6" s="388"/>
      <c r="J6" s="386"/>
    </row>
    <row r="7" spans="1:11" s="390" customFormat="1" ht="9.75" customHeight="1">
      <c r="A7" s="389"/>
      <c r="B7" s="389"/>
      <c r="C7" s="389"/>
      <c r="D7" s="389"/>
      <c r="E7" s="389"/>
      <c r="F7" s="389"/>
      <c r="G7" s="389"/>
      <c r="H7" s="389"/>
      <c r="I7" s="389"/>
      <c r="J7" s="388"/>
    </row>
    <row r="8" spans="1:11" s="285" customFormat="1" ht="17.25" customHeight="1">
      <c r="A8" s="953" t="s">
        <v>239</v>
      </c>
      <c r="B8" s="954" t="s">
        <v>240</v>
      </c>
      <c r="C8" s="954" t="s">
        <v>241</v>
      </c>
      <c r="D8" s="954"/>
      <c r="E8" s="954"/>
      <c r="F8" s="954"/>
      <c r="G8" s="954"/>
      <c r="H8" s="954"/>
      <c r="I8" s="954"/>
      <c r="J8" s="284"/>
    </row>
    <row r="9" spans="1:11" s="288" customFormat="1" ht="35.25" customHeight="1">
      <c r="A9" s="953"/>
      <c r="B9" s="954"/>
      <c r="C9" s="286" t="s">
        <v>351</v>
      </c>
      <c r="D9" s="286" t="s">
        <v>242</v>
      </c>
      <c r="E9" s="286" t="s">
        <v>352</v>
      </c>
      <c r="F9" s="286" t="s">
        <v>353</v>
      </c>
      <c r="G9" s="286" t="s">
        <v>243</v>
      </c>
      <c r="H9" s="286" t="s">
        <v>244</v>
      </c>
      <c r="I9" s="286" t="s">
        <v>354</v>
      </c>
      <c r="J9" s="287"/>
    </row>
    <row r="10" spans="1:11" s="291" customFormat="1" ht="15">
      <c r="A10" s="289" t="s">
        <v>2</v>
      </c>
      <c r="B10" s="290">
        <v>1</v>
      </c>
      <c r="C10" s="290">
        <v>2</v>
      </c>
      <c r="D10" s="290">
        <v>3</v>
      </c>
      <c r="E10" s="290">
        <v>4</v>
      </c>
      <c r="F10" s="290">
        <v>5</v>
      </c>
      <c r="G10" s="290">
        <v>6</v>
      </c>
      <c r="H10" s="290">
        <v>7</v>
      </c>
      <c r="I10" s="290">
        <v>8</v>
      </c>
      <c r="J10" s="281"/>
    </row>
    <row r="11" spans="1:11" s="385" customFormat="1" ht="24.75" customHeight="1">
      <c r="A11" s="391" t="s">
        <v>245</v>
      </c>
      <c r="B11" s="392">
        <f>ROUND(SUM(C11:I11),0)</f>
        <v>0</v>
      </c>
      <c r="C11" s="392">
        <v>0</v>
      </c>
      <c r="D11" s="392">
        <v>0</v>
      </c>
      <c r="E11" s="392">
        <v>0</v>
      </c>
      <c r="F11" s="392">
        <v>0</v>
      </c>
      <c r="G11" s="392">
        <v>0</v>
      </c>
      <c r="H11" s="392">
        <v>0</v>
      </c>
      <c r="I11" s="392">
        <v>0</v>
      </c>
      <c r="J11" s="386"/>
    </row>
    <row r="12" spans="1:11" s="385" customFormat="1" ht="24.75" customHeight="1">
      <c r="A12" s="391" t="s">
        <v>246</v>
      </c>
      <c r="B12" s="392">
        <f ca="1">ROUND(SUM(C12:I12),0)</f>
        <v>0</v>
      </c>
      <c r="C12" s="392">
        <f ca="1">IF(ISNA(VLOOKUP($E6,INDIRECT("DSSP"&amp;$K$2),5,0)),0,VLOOKUP($E6,INDIRECT("DSSP"&amp;$K$2),5,0))</f>
        <v>0</v>
      </c>
      <c r="D12" s="392">
        <f ca="1">IF(ISNA(VLOOKUP($E6,INDIRECT("DSSP"&amp;$K$2),6,0)),0,VLOOKUP($E6,INDIRECT("DSSP"&amp;$K$2),6,0))</f>
        <v>0</v>
      </c>
      <c r="E12" s="392">
        <f ca="1">IF(ISNA(VLOOKUP($E6,INDIRECT("DSSP"&amp;$K$2),7,0)),0,VLOOKUP($E6,INDIRECT("DSSP"&amp;$K$2),7,0))</f>
        <v>0</v>
      </c>
      <c r="F12" s="392">
        <f ca="1">IF(ISNA(VLOOKUP($E6,INDIRECT("DSSP"&amp;$K$2),8,0)),0,VLOOKUP($E6,INDIRECT("DSSP"&amp;$K$2),8,0))</f>
        <v>0</v>
      </c>
      <c r="G12" s="392">
        <f ca="1">IF(ISNA(VLOOKUP($E6,INDIRECT("DSSP"&amp;$K$2),9,0)),0,VLOOKUP($E6,INDIRECT("DSSP"&amp;$K$2),9,0))</f>
        <v>0</v>
      </c>
      <c r="H12" s="392">
        <f ca="1">IF(ISNA(VLOOKUP($E6,INDIRECT("DSSP"&amp;$K$2),10,0)),0,VLOOKUP($E6,INDIRECT("DSSP"&amp;$K$2),10,0))</f>
        <v>0</v>
      </c>
      <c r="I12" s="392">
        <f ca="1">IF(ISNA(VLOOKUP($E6,INDIRECT("DSSP"&amp;$K$2),11,0)),0,VLOOKUP($E6,INDIRECT("DSSP"&amp;$K$2),11,0))</f>
        <v>0</v>
      </c>
      <c r="J12" s="386"/>
    </row>
    <row r="13" spans="1:11" s="385" customFormat="1" ht="24.75" customHeight="1">
      <c r="A13" s="391" t="s">
        <v>247</v>
      </c>
      <c r="B13" s="392">
        <f ca="1">ROUND(IF(ISNA(VLOOKUP($E6,INDIRECT("DSSP"&amp;$K$2),13,0)),0,VLOOKUP($E6,INDIRECT("DSSP"&amp;$K$2),13,0)),0)</f>
        <v>0</v>
      </c>
      <c r="C13" s="392">
        <f t="shared" ref="C13:I13" ca="1" si="0">C12</f>
        <v>0</v>
      </c>
      <c r="D13" s="392">
        <f t="shared" ca="1" si="0"/>
        <v>0</v>
      </c>
      <c r="E13" s="392">
        <f t="shared" ca="1" si="0"/>
        <v>0</v>
      </c>
      <c r="F13" s="392"/>
      <c r="G13" s="392">
        <f t="shared" ca="1" si="0"/>
        <v>0</v>
      </c>
      <c r="H13" s="392"/>
      <c r="I13" s="392">
        <f t="shared" ca="1" si="0"/>
        <v>0</v>
      </c>
      <c r="J13" s="386"/>
    </row>
    <row r="14" spans="1:11" s="385" customFormat="1" ht="24.75" customHeight="1">
      <c r="A14" s="391" t="s">
        <v>248</v>
      </c>
      <c r="B14" s="392">
        <f ca="1">B12-B13</f>
        <v>0</v>
      </c>
      <c r="C14" s="392">
        <f t="shared" ref="C14:I14" ca="1" si="1">C12-C13</f>
        <v>0</v>
      </c>
      <c r="D14" s="392">
        <f t="shared" ca="1" si="1"/>
        <v>0</v>
      </c>
      <c r="E14" s="392">
        <f t="shared" ca="1" si="1"/>
        <v>0</v>
      </c>
      <c r="F14" s="392"/>
      <c r="G14" s="392">
        <f t="shared" ca="1" si="1"/>
        <v>0</v>
      </c>
      <c r="H14" s="392"/>
      <c r="I14" s="392">
        <f t="shared" ca="1" si="1"/>
        <v>0</v>
      </c>
      <c r="J14" s="386"/>
    </row>
    <row r="15" spans="1:11" s="385" customFormat="1" ht="15">
      <c r="B15" s="386"/>
      <c r="C15" s="386"/>
      <c r="D15" s="386"/>
      <c r="E15" s="386"/>
      <c r="F15" s="386"/>
      <c r="G15" s="386"/>
      <c r="H15" s="386"/>
      <c r="I15" s="386"/>
      <c r="J15" s="386"/>
    </row>
    <row r="16" spans="1:11" s="385" customFormat="1" ht="15">
      <c r="B16" s="386"/>
      <c r="C16" s="386"/>
      <c r="D16" s="386"/>
      <c r="E16" s="94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7"/>
      <c r="G16" s="947"/>
      <c r="H16" s="947"/>
      <c r="I16" s="947"/>
      <c r="J16" s="386"/>
    </row>
    <row r="17" spans="2:10" s="385" customFormat="1" ht="15">
      <c r="B17" s="291" t="s">
        <v>249</v>
      </c>
      <c r="C17" s="386"/>
      <c r="D17" s="386"/>
      <c r="E17" s="947" t="s">
        <v>12</v>
      </c>
      <c r="F17" s="947"/>
      <c r="G17" s="947"/>
      <c r="H17" s="947"/>
      <c r="I17" s="947"/>
      <c r="J17" s="386"/>
    </row>
    <row r="19" spans="2:10" ht="15">
      <c r="E19" s="394"/>
      <c r="F19" s="394"/>
    </row>
    <row r="26" spans="2:10">
      <c r="B26" s="369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307" customWidth="1"/>
    <col min="2" max="2" width="9.140625" style="307" customWidth="1"/>
    <col min="3" max="3" width="9" style="308" customWidth="1"/>
    <col min="4" max="4" width="28.140625" style="307" customWidth="1"/>
    <col min="5" max="5" width="9.140625" style="307" customWidth="1"/>
    <col min="6" max="6" width="9.28515625" style="308" customWidth="1"/>
    <col min="7" max="7" width="9" style="307" customWidth="1"/>
    <col min="8" max="8" width="14.5703125" style="307" customWidth="1"/>
    <col min="9" max="9" width="6" style="307" customWidth="1"/>
    <col min="10" max="10" width="14.140625" style="307" customWidth="1"/>
    <col min="11" max="11" width="14.85546875" style="309" customWidth="1"/>
    <col min="12" max="12" width="14.42578125" style="307" customWidth="1"/>
    <col min="13" max="13" width="5.85546875" style="307" customWidth="1"/>
    <col min="14" max="14" width="7.42578125" style="307" customWidth="1"/>
    <col min="15" max="15" width="11.7109375" style="307" customWidth="1"/>
    <col min="16" max="16" width="4.5703125" style="370" customWidth="1"/>
    <col min="17" max="17" width="11.140625" style="307" bestFit="1" customWidth="1"/>
    <col min="18" max="18" width="12" style="307" bestFit="1" customWidth="1"/>
    <col min="19" max="16384" width="9.140625" style="307"/>
  </cols>
  <sheetData>
    <row r="1" spans="1:18" ht="15" customHeight="1">
      <c r="A1" s="408" t="str">
        <f>TH!A1</f>
        <v>Đơn vị: CÔNG TY TNHH BAO BÌ GIẤY KIM DUNG PHÁT</v>
      </c>
      <c r="L1" s="965" t="s">
        <v>270</v>
      </c>
      <c r="M1" s="965"/>
      <c r="N1" s="965"/>
      <c r="O1" s="965"/>
    </row>
    <row r="2" spans="1:18" ht="15" customHeight="1">
      <c r="A2" s="306" t="str">
        <f>TH!A2</f>
        <v>Địa chỉ: Ấp Rừng Sến, xã Mỹ Hạnh Bắc, Huyện Đức Hòa, Tỉnh Long An, Việt Nam</v>
      </c>
      <c r="L2" s="964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64"/>
      <c r="N2" s="964"/>
      <c r="O2" s="964"/>
    </row>
    <row r="3" spans="1:18" ht="15" customHeight="1">
      <c r="L3" s="964"/>
      <c r="M3" s="964"/>
      <c r="N3" s="964"/>
      <c r="O3" s="964"/>
    </row>
    <row r="5" spans="1:18" s="312" customFormat="1" ht="24" customHeight="1">
      <c r="A5" s="966" t="s">
        <v>271</v>
      </c>
      <c r="B5" s="966"/>
      <c r="C5" s="966"/>
      <c r="D5" s="966"/>
      <c r="E5" s="966"/>
      <c r="F5" s="966"/>
      <c r="G5" s="966"/>
      <c r="H5" s="966"/>
      <c r="I5" s="966"/>
      <c r="J5" s="966"/>
      <c r="K5" s="966"/>
      <c r="L5" s="966"/>
      <c r="M5" s="966"/>
      <c r="N5" s="966"/>
      <c r="O5" s="966"/>
      <c r="P5" s="371"/>
    </row>
    <row r="6" spans="1:18" s="312" customFormat="1" ht="21" customHeight="1">
      <c r="A6" s="967" t="s">
        <v>355</v>
      </c>
      <c r="B6" s="967"/>
      <c r="C6" s="967"/>
      <c r="D6" s="967"/>
      <c r="E6" s="967"/>
      <c r="F6" s="967"/>
      <c r="G6" s="967"/>
      <c r="H6" s="967"/>
      <c r="I6" s="967"/>
      <c r="J6" s="967"/>
      <c r="K6" s="967"/>
      <c r="L6" s="967"/>
      <c r="M6" s="967"/>
      <c r="N6" s="967"/>
      <c r="O6" s="967"/>
      <c r="P6" s="371"/>
    </row>
    <row r="7" spans="1:18" s="312" customFormat="1" ht="21" customHeight="1">
      <c r="A7" s="968" t="s">
        <v>313</v>
      </c>
      <c r="B7" s="968"/>
      <c r="C7" s="968"/>
      <c r="D7" s="968"/>
      <c r="E7" s="968"/>
      <c r="F7" s="968"/>
      <c r="G7" s="968"/>
      <c r="H7" s="968"/>
      <c r="I7" s="968"/>
      <c r="J7" s="968"/>
      <c r="K7" s="968"/>
      <c r="L7" s="968"/>
      <c r="M7" s="968"/>
      <c r="N7" s="968"/>
      <c r="O7" s="968"/>
      <c r="P7" s="371"/>
    </row>
    <row r="8" spans="1:18">
      <c r="D8" s="308"/>
    </row>
    <row r="9" spans="1:18" s="313" customFormat="1" ht="24" customHeight="1">
      <c r="A9" s="955" t="s">
        <v>224</v>
      </c>
      <c r="B9" s="958" t="s">
        <v>272</v>
      </c>
      <c r="C9" s="959"/>
      <c r="D9" s="959"/>
      <c r="E9" s="959"/>
      <c r="F9" s="959"/>
      <c r="G9" s="959"/>
      <c r="H9" s="960"/>
      <c r="I9" s="958" t="s">
        <v>273</v>
      </c>
      <c r="J9" s="959"/>
      <c r="K9" s="959"/>
      <c r="L9" s="960"/>
      <c r="M9" s="961" t="s">
        <v>274</v>
      </c>
      <c r="N9" s="961"/>
      <c r="O9" s="961"/>
      <c r="P9" s="372"/>
    </row>
    <row r="10" spans="1:18" s="313" customFormat="1" ht="24" customHeight="1">
      <c r="A10" s="956"/>
      <c r="B10" s="958" t="s">
        <v>275</v>
      </c>
      <c r="C10" s="960"/>
      <c r="D10" s="955" t="s">
        <v>276</v>
      </c>
      <c r="E10" s="955" t="s">
        <v>277</v>
      </c>
      <c r="F10" s="955" t="s">
        <v>278</v>
      </c>
      <c r="G10" s="955" t="s">
        <v>279</v>
      </c>
      <c r="H10" s="955" t="s">
        <v>280</v>
      </c>
      <c r="I10" s="958" t="s">
        <v>281</v>
      </c>
      <c r="J10" s="960"/>
      <c r="K10" s="962" t="s">
        <v>282</v>
      </c>
      <c r="L10" s="955" t="s">
        <v>283</v>
      </c>
      <c r="M10" s="961" t="s">
        <v>275</v>
      </c>
      <c r="N10" s="961"/>
      <c r="O10" s="961" t="s">
        <v>284</v>
      </c>
      <c r="P10" s="372"/>
    </row>
    <row r="11" spans="1:18" s="313" customFormat="1" ht="55.5" customHeight="1">
      <c r="A11" s="957"/>
      <c r="B11" s="314" t="s">
        <v>285</v>
      </c>
      <c r="C11" s="314" t="s">
        <v>225</v>
      </c>
      <c r="D11" s="957"/>
      <c r="E11" s="957"/>
      <c r="F11" s="957"/>
      <c r="G11" s="957"/>
      <c r="H11" s="957"/>
      <c r="I11" s="314" t="s">
        <v>286</v>
      </c>
      <c r="J11" s="314" t="s">
        <v>287</v>
      </c>
      <c r="K11" s="963"/>
      <c r="L11" s="957"/>
      <c r="M11" s="314" t="s">
        <v>15</v>
      </c>
      <c r="N11" s="314" t="s">
        <v>225</v>
      </c>
      <c r="O11" s="961"/>
      <c r="P11" s="372"/>
    </row>
    <row r="12" spans="1:18" s="317" customFormat="1" ht="13.5">
      <c r="A12" s="315" t="s">
        <v>2</v>
      </c>
      <c r="B12" s="315" t="s">
        <v>3</v>
      </c>
      <c r="C12" s="315" t="s">
        <v>4</v>
      </c>
      <c r="D12" s="315" t="s">
        <v>5</v>
      </c>
      <c r="E12" s="315" t="s">
        <v>6</v>
      </c>
      <c r="F12" s="315" t="s">
        <v>126</v>
      </c>
      <c r="G12" s="315" t="s">
        <v>288</v>
      </c>
      <c r="H12" s="315">
        <v>1</v>
      </c>
      <c r="I12" s="315">
        <v>2</v>
      </c>
      <c r="J12" s="315">
        <v>3</v>
      </c>
      <c r="K12" s="316"/>
      <c r="L12" s="315">
        <v>4</v>
      </c>
      <c r="M12" s="315" t="s">
        <v>289</v>
      </c>
      <c r="N12" s="315" t="s">
        <v>290</v>
      </c>
      <c r="O12" s="315" t="s">
        <v>291</v>
      </c>
      <c r="P12" s="373"/>
    </row>
    <row r="13" spans="1:18" s="317" customFormat="1" ht="21.75" customHeight="1">
      <c r="A13" s="337" t="s">
        <v>289</v>
      </c>
      <c r="B13" s="339" t="s">
        <v>312</v>
      </c>
      <c r="C13" s="337"/>
      <c r="D13" s="337"/>
      <c r="E13" s="337"/>
      <c r="F13" s="337"/>
      <c r="G13" s="374"/>
      <c r="H13" s="344"/>
      <c r="I13" s="344"/>
      <c r="J13" s="344"/>
      <c r="K13" s="344"/>
      <c r="L13" s="5"/>
      <c r="M13" s="337"/>
      <c r="N13" s="337"/>
      <c r="O13" s="104"/>
      <c r="P13" s="373" t="str">
        <f>IF(D13='THE-TS'!$D$11,"x","")</f>
        <v/>
      </c>
    </row>
    <row r="14" spans="1:18" ht="21.75" customHeight="1">
      <c r="A14" s="338">
        <v>1</v>
      </c>
      <c r="B14" s="347" t="s">
        <v>323</v>
      </c>
      <c r="C14" s="318">
        <v>42563</v>
      </c>
      <c r="D14" s="125" t="s">
        <v>345</v>
      </c>
      <c r="E14" s="277" t="s">
        <v>292</v>
      </c>
      <c r="F14" s="347" t="s">
        <v>633</v>
      </c>
      <c r="G14" s="374" t="s">
        <v>629</v>
      </c>
      <c r="H14" s="134">
        <v>15000000</v>
      </c>
      <c r="I14" s="134">
        <v>5</v>
      </c>
      <c r="J14" s="5">
        <v>1500000</v>
      </c>
      <c r="K14" s="5"/>
      <c r="L14" s="5">
        <f t="shared" ref="L14:L17" si="0">K14+J14</f>
        <v>1500000</v>
      </c>
      <c r="M14" s="334"/>
      <c r="N14" s="277"/>
      <c r="O14" s="104"/>
      <c r="P14" s="373" t="str">
        <f>IF(D14='THE-TS'!$D$11,"x","")</f>
        <v>x</v>
      </c>
      <c r="Q14" s="159"/>
      <c r="R14" s="159"/>
    </row>
    <row r="15" spans="1:18" ht="21.75" customHeight="1">
      <c r="A15" s="338">
        <v>2</v>
      </c>
      <c r="B15" s="347" t="s">
        <v>323</v>
      </c>
      <c r="C15" s="318">
        <v>42563</v>
      </c>
      <c r="D15" s="125" t="s">
        <v>346</v>
      </c>
      <c r="E15" s="277" t="s">
        <v>292</v>
      </c>
      <c r="F15" s="347" t="s">
        <v>633</v>
      </c>
      <c r="G15" s="374" t="s">
        <v>630</v>
      </c>
      <c r="H15" s="134">
        <v>25000000</v>
      </c>
      <c r="I15" s="134">
        <v>5</v>
      </c>
      <c r="J15" s="5">
        <v>2500000</v>
      </c>
      <c r="K15" s="5"/>
      <c r="L15" s="5">
        <f t="shared" si="0"/>
        <v>2500000</v>
      </c>
      <c r="M15" s="334"/>
      <c r="N15" s="277"/>
      <c r="O15" s="104"/>
      <c r="P15" s="373" t="str">
        <f>IF(D15='THE-TS'!$D$11,"x","")</f>
        <v/>
      </c>
      <c r="Q15" s="159"/>
      <c r="R15" s="159"/>
    </row>
    <row r="16" spans="1:18" ht="21.75" customHeight="1">
      <c r="A16" s="338">
        <v>3</v>
      </c>
      <c r="B16" s="347" t="s">
        <v>323</v>
      </c>
      <c r="C16" s="318">
        <v>42563</v>
      </c>
      <c r="D16" s="125" t="s">
        <v>347</v>
      </c>
      <c r="E16" s="277" t="s">
        <v>292</v>
      </c>
      <c r="F16" s="347" t="s">
        <v>633</v>
      </c>
      <c r="G16" s="374" t="s">
        <v>631</v>
      </c>
      <c r="H16" s="134">
        <v>300000000</v>
      </c>
      <c r="I16" s="134">
        <v>15</v>
      </c>
      <c r="J16" s="5">
        <v>10000000</v>
      </c>
      <c r="K16" s="5"/>
      <c r="L16" s="5">
        <f t="shared" si="0"/>
        <v>10000000</v>
      </c>
      <c r="M16" s="334"/>
      <c r="N16" s="104"/>
      <c r="O16" s="104"/>
      <c r="P16" s="373" t="str">
        <f>IF(D16='THE-TS'!$D$11,"x","")</f>
        <v/>
      </c>
      <c r="Q16" s="159"/>
      <c r="R16" s="159"/>
    </row>
    <row r="17" spans="1:18" ht="21.75" customHeight="1">
      <c r="A17" s="338">
        <v>4</v>
      </c>
      <c r="B17" s="347" t="s">
        <v>323</v>
      </c>
      <c r="C17" s="318">
        <v>42563</v>
      </c>
      <c r="D17" s="342" t="s">
        <v>627</v>
      </c>
      <c r="E17" s="277" t="s">
        <v>292</v>
      </c>
      <c r="F17" s="347" t="s">
        <v>633</v>
      </c>
      <c r="G17" s="374" t="s">
        <v>632</v>
      </c>
      <c r="H17" s="345">
        <v>500000000</v>
      </c>
      <c r="I17" s="134">
        <v>20</v>
      </c>
      <c r="J17" s="162">
        <v>12500000</v>
      </c>
      <c r="K17" s="162"/>
      <c r="L17" s="5">
        <f t="shared" si="0"/>
        <v>12500000</v>
      </c>
      <c r="M17" s="566"/>
      <c r="N17" s="567"/>
      <c r="O17" s="567"/>
      <c r="P17" s="373"/>
      <c r="Q17" s="159"/>
      <c r="R17" s="159"/>
    </row>
    <row r="18" spans="1:18" ht="21.75" customHeight="1">
      <c r="A18" s="319"/>
      <c r="B18" s="340"/>
      <c r="C18" s="341"/>
      <c r="D18" s="342"/>
      <c r="E18" s="320"/>
      <c r="F18" s="341"/>
      <c r="G18" s="340"/>
      <c r="H18" s="345"/>
      <c r="I18" s="345"/>
      <c r="J18" s="162"/>
      <c r="K18" s="162"/>
      <c r="L18" s="162"/>
      <c r="M18" s="320"/>
      <c r="N18" s="320"/>
      <c r="O18" s="320"/>
      <c r="P18" s="373" t="str">
        <f>IF(D18='THE-TS'!$D$11,"x","")</f>
        <v/>
      </c>
      <c r="Q18" s="159"/>
      <c r="R18" s="335"/>
    </row>
    <row r="19" spans="1:18" s="323" customFormat="1" ht="21.75" customHeight="1">
      <c r="A19" s="321"/>
      <c r="B19" s="322"/>
      <c r="C19" s="321"/>
      <c r="D19" s="321" t="s">
        <v>293</v>
      </c>
      <c r="E19" s="321" t="s">
        <v>19</v>
      </c>
      <c r="F19" s="321" t="s">
        <v>19</v>
      </c>
      <c r="G19" s="321" t="s">
        <v>19</v>
      </c>
      <c r="H19" s="346">
        <f>SUM(H14:H18)</f>
        <v>840000000</v>
      </c>
      <c r="I19" s="346"/>
      <c r="J19" s="346">
        <f>SUM(J14:J18)</f>
        <v>26500000</v>
      </c>
      <c r="K19" s="346">
        <f t="shared" ref="K19:L19" si="1">SUM(K14:K18)</f>
        <v>0</v>
      </c>
      <c r="L19" s="346">
        <f t="shared" si="1"/>
        <v>26500000</v>
      </c>
      <c r="M19" s="378" t="s">
        <v>19</v>
      </c>
      <c r="N19" s="378" t="s">
        <v>19</v>
      </c>
      <c r="O19" s="378" t="s">
        <v>19</v>
      </c>
      <c r="P19" s="373" t="str">
        <f>IF(D19='THE-TS'!$D$11,"x","")</f>
        <v/>
      </c>
      <c r="Q19" s="159"/>
    </row>
    <row r="20" spans="1:18" ht="6.75" customHeight="1">
      <c r="A20" s="278"/>
      <c r="B20" s="278"/>
      <c r="C20" s="324"/>
      <c r="D20" s="278"/>
      <c r="E20" s="324"/>
      <c r="F20" s="324"/>
      <c r="G20" s="324"/>
      <c r="H20" s="278"/>
      <c r="I20" s="278"/>
      <c r="J20" s="278"/>
      <c r="K20" s="325"/>
      <c r="L20" s="278"/>
      <c r="M20" s="278"/>
      <c r="N20" s="278"/>
      <c r="O20" s="278"/>
      <c r="P20" s="373" t="str">
        <f>IF(D20='THE-TS'!$D$11,"x","")</f>
        <v/>
      </c>
    </row>
    <row r="21" spans="1:18" ht="13.5" customHeight="1">
      <c r="A21" s="278"/>
      <c r="B21" s="278"/>
      <c r="C21" s="324"/>
      <c r="D21" s="278" t="s">
        <v>294</v>
      </c>
      <c r="E21" s="278"/>
      <c r="F21" s="324"/>
      <c r="G21" s="278"/>
      <c r="H21" s="309"/>
      <c r="I21" s="309"/>
      <c r="J21" s="379"/>
      <c r="L21" s="309"/>
      <c r="M21" s="278"/>
      <c r="N21" s="278"/>
      <c r="O21" s="278"/>
      <c r="P21" s="373" t="str">
        <f>IF(D21='THE-TS'!$D$11,"x","")</f>
        <v/>
      </c>
    </row>
    <row r="22" spans="1:18" ht="13.5" customHeight="1">
      <c r="A22" s="278"/>
      <c r="B22" s="278"/>
      <c r="C22" s="324"/>
      <c r="D22" s="278" t="s">
        <v>635</v>
      </c>
      <c r="E22" s="278"/>
      <c r="F22" s="324"/>
      <c r="G22" s="278"/>
      <c r="H22" s="335"/>
      <c r="I22" s="278"/>
      <c r="J22" s="343"/>
      <c r="K22" s="325"/>
      <c r="L22" s="278"/>
      <c r="M22" s="278"/>
      <c r="N22" s="278"/>
      <c r="O22" s="278"/>
      <c r="P22" s="373" t="str">
        <f>IF(D22='THE-TS'!$D$11,"x","")</f>
        <v/>
      </c>
    </row>
    <row r="23" spans="1:18" ht="13.5" customHeight="1">
      <c r="K23" s="326"/>
      <c r="L23" s="311" t="s">
        <v>634</v>
      </c>
      <c r="P23" s="373" t="str">
        <f>IF(D23='THE-TS'!$D$11,"x","")</f>
        <v/>
      </c>
    </row>
    <row r="24" spans="1:18" ht="13.5" customHeight="1">
      <c r="B24" s="308"/>
      <c r="D24" s="308" t="s">
        <v>11</v>
      </c>
      <c r="F24" s="308" t="s">
        <v>295</v>
      </c>
      <c r="I24" s="327"/>
      <c r="K24" s="324"/>
      <c r="L24" s="324" t="s">
        <v>104</v>
      </c>
      <c r="P24" s="373" t="str">
        <f>IF(D24='THE-TS'!$D$11,"x","")</f>
        <v/>
      </c>
    </row>
    <row r="25" spans="1:18" ht="13.5" customHeight="1">
      <c r="B25" s="308"/>
      <c r="D25" s="308"/>
      <c r="P25" s="373" t="str">
        <f>IF(D25='THE-TS'!$D$11,"x","")</f>
        <v/>
      </c>
    </row>
    <row r="26" spans="1:18" ht="13.5" customHeight="1">
      <c r="H26" s="328"/>
      <c r="J26" s="328"/>
      <c r="L26" s="328"/>
      <c r="P26" s="373" t="str">
        <f>IF(D26='THE-TS'!$D$11,"x","")</f>
        <v/>
      </c>
    </row>
    <row r="27" spans="1:18" ht="13.5" customHeight="1">
      <c r="H27" s="329"/>
      <c r="P27" s="373" t="str">
        <f>IF(D27='THE-TS'!$D$11,"x","")</f>
        <v/>
      </c>
    </row>
    <row r="28" spans="1:18" ht="13.5" customHeight="1">
      <c r="H28" s="329"/>
      <c r="J28" s="328"/>
      <c r="P28" s="373" t="str">
        <f>IF(D28='THE-TS'!$D$11,"x","")</f>
        <v/>
      </c>
    </row>
    <row r="29" spans="1:18" ht="13.5" customHeight="1">
      <c r="H29" s="329"/>
      <c r="P29" s="373" t="str">
        <f>IF(D29='THE-TS'!$D$11,"x","")</f>
        <v/>
      </c>
    </row>
    <row r="30" spans="1:18" ht="13.5" customHeight="1">
      <c r="H30" s="329"/>
      <c r="P30" s="373" t="str">
        <f>IF(D30='THE-TS'!$D$11,"x","")</f>
        <v/>
      </c>
    </row>
    <row r="31" spans="1:18" s="330" customFormat="1" ht="13.5" customHeight="1">
      <c r="C31" s="331"/>
      <c r="D31" s="331"/>
      <c r="F31" s="331"/>
      <c r="H31" s="332"/>
      <c r="K31" s="333"/>
      <c r="P31" s="373"/>
    </row>
    <row r="32" spans="1:18" ht="13.5">
      <c r="P32" s="373" t="str">
        <f>IF(D32='THE-TS'!$D$11,"x","")</f>
        <v/>
      </c>
    </row>
    <row r="33" spans="8:16" ht="13.5" customHeight="1">
      <c r="H33" s="329"/>
      <c r="P33" s="373" t="str">
        <f>IF(D33='THE-TS'!$D$11,"x","")</f>
        <v/>
      </c>
    </row>
    <row r="34" spans="8:16" ht="13.5">
      <c r="P34" s="373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D20" sqref="D20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49"/>
      <c r="B1" s="349"/>
      <c r="C1" s="349"/>
      <c r="D1" s="349"/>
      <c r="E1" s="349"/>
      <c r="F1" s="349"/>
      <c r="G1" s="349"/>
      <c r="H1" s="349"/>
      <c r="I1" s="349"/>
      <c r="J1" s="349"/>
      <c r="K1" s="349"/>
    </row>
    <row r="2" spans="1:11">
      <c r="A2" s="409" t="str">
        <f>TH!A1</f>
        <v>Đơn vị: CÔNG TY TNHH BAO BÌ GIẤY KIM DUNG PHÁT</v>
      </c>
      <c r="B2" s="348"/>
      <c r="C2" s="348"/>
      <c r="D2" s="348"/>
      <c r="E2" s="310"/>
      <c r="F2" s="965" t="s">
        <v>296</v>
      </c>
      <c r="G2" s="965"/>
      <c r="H2" s="965"/>
      <c r="I2" s="349"/>
      <c r="J2" s="349"/>
      <c r="K2" s="349"/>
    </row>
    <row r="3" spans="1:11">
      <c r="A3" s="364" t="str">
        <f>TH!A2</f>
        <v>Địa chỉ: Ấp Rừng Sến, xã Mỹ Hạnh Bắc, Huyện Đức Hòa, Tỉnh Long An, Việt Nam</v>
      </c>
      <c r="B3" s="348"/>
      <c r="C3" s="348"/>
      <c r="D3" s="348"/>
      <c r="E3" s="311"/>
      <c r="F3" s="964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64"/>
      <c r="H3" s="964"/>
      <c r="I3" s="349"/>
      <c r="J3" s="349"/>
      <c r="K3" s="349"/>
    </row>
    <row r="4" spans="1:11">
      <c r="A4" s="308"/>
      <c r="B4" s="308"/>
      <c r="C4" s="311"/>
      <c r="D4" s="311"/>
      <c r="E4" s="311"/>
      <c r="F4" s="964"/>
      <c r="G4" s="964"/>
      <c r="H4" s="964"/>
      <c r="I4" s="349"/>
      <c r="J4" s="349"/>
      <c r="K4" s="349"/>
    </row>
    <row r="5" spans="1:11">
      <c r="A5" s="308"/>
      <c r="B5" s="308"/>
      <c r="C5" s="311"/>
      <c r="D5" s="311"/>
      <c r="E5" s="311"/>
      <c r="F5" s="311"/>
      <c r="G5" s="311"/>
      <c r="H5" s="311"/>
      <c r="I5" s="349"/>
      <c r="J5" s="349"/>
      <c r="K5" s="349"/>
    </row>
    <row r="6" spans="1:11" ht="23.25" customHeight="1" thickBot="1">
      <c r="A6" s="971" t="s">
        <v>297</v>
      </c>
      <c r="B6" s="971"/>
      <c r="C6" s="971"/>
      <c r="D6" s="971"/>
      <c r="E6" s="971"/>
      <c r="F6" s="971"/>
      <c r="G6" s="971"/>
      <c r="H6" s="971"/>
      <c r="I6" s="349"/>
      <c r="J6" s="349"/>
      <c r="K6" s="349"/>
    </row>
    <row r="7" spans="1:11" ht="17.25" customHeight="1" thickBot="1">
      <c r="A7" s="970" t="str">
        <f ca="1" xml:space="preserve"> IF(ROWS($1:1)&gt;COUNT(Dong3),"","Số: "&amp;OFFSET('SO-TS'!$G$1,SMALL(Dong3,ROWS($1:1)),))</f>
        <v>Số: SX01/16</v>
      </c>
      <c r="B7" s="970"/>
      <c r="C7" s="970"/>
      <c r="D7" s="970"/>
      <c r="E7" s="970"/>
      <c r="F7" s="970"/>
      <c r="G7" s="970"/>
      <c r="H7" s="970"/>
      <c r="I7" s="349"/>
      <c r="J7" s="365" t="s">
        <v>314</v>
      </c>
      <c r="K7" s="366" t="s">
        <v>319</v>
      </c>
    </row>
    <row r="8" spans="1:11" ht="17.25" customHeight="1">
      <c r="A8" s="97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72"/>
      <c r="C8" s="972"/>
      <c r="D8" s="972"/>
      <c r="E8" s="972"/>
      <c r="F8" s="972"/>
      <c r="G8" s="972"/>
      <c r="H8" s="972"/>
      <c r="I8" s="349"/>
      <c r="J8" s="349"/>
      <c r="K8" s="349"/>
    </row>
    <row r="9" spans="1:11" ht="12" customHeight="1">
      <c r="A9" s="308"/>
      <c r="B9" s="308"/>
      <c r="C9" s="308"/>
      <c r="D9" s="308"/>
      <c r="E9" s="308"/>
      <c r="F9" s="308"/>
      <c r="G9" s="311"/>
      <c r="H9" s="311"/>
      <c r="I9" s="349"/>
      <c r="J9" s="349"/>
      <c r="K9" s="349"/>
    </row>
    <row r="10" spans="1:11" ht="15" customHeight="1">
      <c r="A10" s="307" t="str">
        <f ca="1">"Căn cứ vào biên bản giao nhận TSCĐ "&amp;"  "&amp;A7&amp;"  "&amp;A8</f>
        <v>Căn cứ vào biên bản giao nhận TSCĐ   Số: SX01/16  Ngày   12   tháng   7  năm   2016</v>
      </c>
      <c r="B10" s="307"/>
      <c r="C10" s="307"/>
      <c r="D10" s="307"/>
      <c r="E10" s="307"/>
      <c r="F10" s="307"/>
      <c r="G10" s="307"/>
      <c r="H10" s="307"/>
      <c r="I10" s="349"/>
      <c r="J10" s="349"/>
      <c r="K10" s="349"/>
    </row>
    <row r="11" spans="1:11" ht="15" customHeight="1">
      <c r="A11" s="307" t="s">
        <v>315</v>
      </c>
      <c r="B11" s="307"/>
      <c r="C11" s="307"/>
      <c r="D11" s="307" t="s">
        <v>345</v>
      </c>
      <c r="E11" s="307" t="str">
        <f ca="1" xml:space="preserve"> IF(ROWS($1:1)&gt;COUNT(Dong3),"","Số hiệu TSCĐ:   "&amp;OFFSET('SO-TS'!$G$1,SMALL(Dong3,ROWS($1:1)),))</f>
        <v>Số hiệu TSCĐ:   SX01/16</v>
      </c>
      <c r="F11" s="307"/>
      <c r="G11" s="349"/>
      <c r="H11" s="307"/>
      <c r="I11" s="349"/>
      <c r="J11" s="349"/>
      <c r="K11" s="349"/>
    </row>
    <row r="12" spans="1:11" ht="15" customHeight="1">
      <c r="A12" s="307" t="str">
        <f ca="1" xml:space="preserve"> IF(ROWS($1:1)&gt;COUNT(Dong3),"","Nước sản xuất:   "&amp;OFFSET('SO-TS'!$E$1,SMALL(Dong3,ROWS($1:1)),))</f>
        <v>Nước sản xuất:   Việt Nam</v>
      </c>
      <c r="B12" s="307"/>
      <c r="C12" s="307"/>
      <c r="D12" s="307"/>
      <c r="E12" s="307" t="s">
        <v>316</v>
      </c>
      <c r="F12" s="307"/>
      <c r="G12" s="307"/>
      <c r="H12" s="307"/>
      <c r="I12" s="349"/>
      <c r="J12" s="349"/>
      <c r="K12" s="349"/>
    </row>
    <row r="13" spans="1:11" ht="15" customHeight="1">
      <c r="A13" s="30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07"/>
      <c r="C13" s="307"/>
      <c r="D13" s="307"/>
      <c r="E13" s="307" t="str">
        <f ca="1" xml:space="preserve"> IF(ROWS($1:1)&gt;COUNT(Dong3),"","Tháng, năm đưa vào sử dụng:    "&amp;OFFSET('SO-TS'!$F$1,SMALL(Dong3,ROWS($1:1)),))</f>
        <v>Tháng, năm đưa vào sử dụng:    07/2016</v>
      </c>
      <c r="F13" s="307"/>
      <c r="G13" s="307"/>
      <c r="H13" s="307"/>
      <c r="I13" s="349"/>
      <c r="J13" s="349"/>
      <c r="K13" s="349"/>
    </row>
    <row r="14" spans="1:11" ht="15" customHeight="1">
      <c r="A14" s="307" t="s">
        <v>298</v>
      </c>
      <c r="B14" s="307"/>
      <c r="C14" s="307"/>
      <c r="D14" s="307"/>
      <c r="E14" s="307"/>
      <c r="F14" s="307"/>
      <c r="G14" s="307"/>
      <c r="H14" s="307"/>
      <c r="I14" s="349"/>
      <c r="J14" s="349"/>
      <c r="K14" s="349"/>
    </row>
    <row r="15" spans="1:11" ht="15" customHeight="1">
      <c r="A15" s="307" t="s">
        <v>318</v>
      </c>
      <c r="B15" s="307"/>
      <c r="C15" s="307"/>
      <c r="D15" s="307"/>
      <c r="E15" s="307"/>
      <c r="F15" s="307"/>
      <c r="G15" s="307"/>
      <c r="H15" s="307"/>
      <c r="I15" s="349"/>
      <c r="J15" s="349"/>
      <c r="K15" s="349"/>
    </row>
    <row r="16" spans="1:11" ht="15" customHeight="1">
      <c r="A16" s="367" t="s">
        <v>317</v>
      </c>
      <c r="B16" s="367"/>
      <c r="C16" s="367"/>
      <c r="D16" s="367"/>
      <c r="E16" s="367"/>
      <c r="F16" s="367"/>
      <c r="G16" s="367"/>
      <c r="H16" s="367"/>
      <c r="I16" s="349"/>
      <c r="J16" s="349"/>
      <c r="K16" s="349"/>
    </row>
    <row r="17" spans="1:11" ht="18" customHeight="1">
      <c r="A17" s="974" t="s">
        <v>120</v>
      </c>
      <c r="B17" s="975"/>
      <c r="C17" s="978" t="s">
        <v>299</v>
      </c>
      <c r="D17" s="979"/>
      <c r="E17" s="980"/>
      <c r="F17" s="981" t="s">
        <v>300</v>
      </c>
      <c r="G17" s="982"/>
      <c r="H17" s="983"/>
      <c r="I17" s="361"/>
      <c r="J17" s="361"/>
      <c r="K17" s="361"/>
    </row>
    <row r="18" spans="1:11" ht="28.5" customHeight="1">
      <c r="A18" s="976"/>
      <c r="B18" s="977"/>
      <c r="C18" s="336" t="s">
        <v>301</v>
      </c>
      <c r="D18" s="336" t="s">
        <v>0</v>
      </c>
      <c r="E18" s="336" t="s">
        <v>302</v>
      </c>
      <c r="F18" s="336" t="s">
        <v>303</v>
      </c>
      <c r="G18" s="336" t="s">
        <v>304</v>
      </c>
      <c r="H18" s="336" t="s">
        <v>305</v>
      </c>
      <c r="I18" s="361"/>
      <c r="J18" s="361"/>
      <c r="K18" s="361"/>
    </row>
    <row r="19" spans="1:11">
      <c r="A19" s="984" t="s">
        <v>2</v>
      </c>
      <c r="B19" s="984"/>
      <c r="C19" s="362" t="s">
        <v>3</v>
      </c>
      <c r="D19" s="362" t="s">
        <v>4</v>
      </c>
      <c r="E19" s="362">
        <v>1</v>
      </c>
      <c r="F19" s="362">
        <v>2</v>
      </c>
      <c r="G19" s="362">
        <v>3</v>
      </c>
      <c r="H19" s="362">
        <v>4</v>
      </c>
      <c r="I19" s="363"/>
      <c r="J19" s="363"/>
      <c r="K19" s="363"/>
    </row>
    <row r="20" spans="1:11" ht="17.25" customHeight="1">
      <c r="A20" s="294">
        <f ca="1">IF(B20&lt;&gt;"",ROW()-19,"")</f>
        <v>1</v>
      </c>
      <c r="B20" s="350" t="str">
        <f ca="1" xml:space="preserve"> IF(ROWS($1:1)&gt;COUNT(Dong3),"",OFFSET('SO-TS'!G$1,SMALL(Dong3,ROWS($1:1)),))</f>
        <v>SX01/16</v>
      </c>
      <c r="C20" s="350" t="str">
        <f ca="1" xml:space="preserve"> IF(ROWS($1:1)&gt;COUNT(Dong3),"",OFFSET('SO-TS'!F$1,SMALL(Dong3,ROWS($1:1)),))</f>
        <v>07/2016</v>
      </c>
      <c r="D20" s="375" t="str">
        <f ca="1" xml:space="preserve"> IF(ROWS($1:1)&gt;COUNT(Dong3),"",OFFSET('SO-TS'!D$1,SMALL(Dong3,ROWS($1:1)),))</f>
        <v>Máy chap khe khổ 2m</v>
      </c>
      <c r="E20" s="376">
        <f ca="1" xml:space="preserve"> IF(ROWS($1:1)&gt;COUNT(Dong3),"",OFFSET('SO-TS'!H$1,SMALL(Dong3,ROWS($1:1)),))</f>
        <v>15000000</v>
      </c>
      <c r="F20" s="377" t="str">
        <f ca="1" xml:space="preserve"> IF(ROWS($1:1)&gt;COUNT(Dong3),"",RIGHT(OFFSET('SO-TS'!F$1,SMALL(Dong3,ROWS($1:1)),),4))</f>
        <v>2016</v>
      </c>
      <c r="G20" s="489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89">
        <f ca="1">G20</f>
        <v>1500000</v>
      </c>
      <c r="I20" s="349"/>
      <c r="J20" s="349"/>
      <c r="K20" s="349"/>
    </row>
    <row r="21" spans="1:11" ht="17.25" customHeight="1">
      <c r="A21" s="294" t="str">
        <f t="shared" ref="A21:A27" ca="1" si="0">IF(B21&lt;&gt;"",ROW()-19,"")</f>
        <v/>
      </c>
      <c r="B21" s="350" t="str">
        <f ca="1" xml:space="preserve"> IF(ROWS($1:2)&gt;COUNT(Dong3),"",OFFSET('SO-TS'!G$1,SMALL(Dong3,ROWS($1:2)),))</f>
        <v/>
      </c>
      <c r="C21" s="350" t="str">
        <f ca="1" xml:space="preserve"> IF(ROWS($1:2)&gt;COUNT(Dong3),"",OFFSET('SO-TS'!F$1,SMALL(Dong3,ROWS($1:2)),))</f>
        <v/>
      </c>
      <c r="D21" s="375" t="str">
        <f ca="1" xml:space="preserve"> IF(ROWS($1:2)&gt;COUNT(Dong3),"",OFFSET('SO-TS'!D$1,SMALL(Dong3,ROWS($1:2)),))</f>
        <v/>
      </c>
      <c r="E21" s="376" t="str">
        <f ca="1" xml:space="preserve"> IF(ROWS($1:2)&gt;COUNT(Dong3),"",OFFSET('SO-TS'!H$1,SMALL(Dong3,ROWS($1:2)),))</f>
        <v/>
      </c>
      <c r="F21" s="377" t="str">
        <f ca="1">IF(OR(F20="",AND((ROW()-19)&gt;OFFSET('SO-TS'!I$1,SMALL(Dong3,ROWS(1:1)),)+1),$E$29-H20&lt;=0),"",IF(VALUE(F20)&gt;=VALUE(YEAR(TH!$C$10)),"",F20+1))</f>
        <v/>
      </c>
      <c r="G21" s="489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0</v>
      </c>
      <c r="H21" s="488">
        <f ca="1">IF(G21&lt;&gt;0,H20+G21,0)</f>
        <v>0</v>
      </c>
      <c r="I21" s="349"/>
      <c r="J21" s="349"/>
      <c r="K21" s="349"/>
    </row>
    <row r="22" spans="1:11" ht="17.25" customHeight="1">
      <c r="A22" s="294" t="str">
        <f t="shared" ca="1" si="0"/>
        <v/>
      </c>
      <c r="B22" s="350" t="str">
        <f ca="1" xml:space="preserve"> IF(ROWS($1:3)&gt;COUNT(Dong3),"",OFFSET('SO-TS'!G$1,SMALL(Dong3,ROWS($1:3)),))</f>
        <v/>
      </c>
      <c r="C22" s="350" t="str">
        <f ca="1" xml:space="preserve"> IF(ROWS($1:3)&gt;COUNT(Dong3),"",OFFSET('SO-TS'!F$1,SMALL(Dong3,ROWS($1:3)),))</f>
        <v/>
      </c>
      <c r="D22" s="375" t="str">
        <f ca="1" xml:space="preserve"> IF(ROWS($1:3)&gt;COUNT(Dong3),"",OFFSET('SO-TS'!D$1,SMALL(Dong3,ROWS($1:3)),))</f>
        <v/>
      </c>
      <c r="E22" s="376" t="str">
        <f ca="1" xml:space="preserve"> IF(ROWS($1:3)&gt;COUNT(Dong3),"",OFFSET('SO-TS'!H$1,SMALL(Dong3,ROWS($1:3)),))</f>
        <v/>
      </c>
      <c r="F22" s="377" t="str">
        <f ca="1">IF(OR(F21="",AND((ROW()-19)&gt;OFFSET('SO-TS'!I$1,SMALL(Dong3,ROWS(2:2)),)+1),$E$29-H21&lt;=0),"",IF(VALUE(F21)&gt;=VALUE(YEAR(TH!$C$10)),"",F21+1))</f>
        <v/>
      </c>
      <c r="G22" s="489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88">
        <f t="shared" ref="H22:H27" ca="1" si="1">IF(G22&lt;&gt;0,H21+G22,0)</f>
        <v>0</v>
      </c>
      <c r="I22" s="349"/>
      <c r="J22" s="349"/>
      <c r="K22" s="349"/>
    </row>
    <row r="23" spans="1:11" ht="17.25" customHeight="1">
      <c r="A23" s="294" t="str">
        <f t="shared" ca="1" si="0"/>
        <v/>
      </c>
      <c r="B23" s="350" t="str">
        <f ca="1" xml:space="preserve"> IF(ROWS($1:4)&gt;COUNT(Dong3),"",OFFSET('SO-TS'!G$1,SMALL(Dong3,ROWS($1:4)),))</f>
        <v/>
      </c>
      <c r="C23" s="350" t="str">
        <f ca="1" xml:space="preserve"> IF(ROWS($1:4)&gt;COUNT(Dong3),"",OFFSET('SO-TS'!F$1,SMALL(Dong3,ROWS($1:4)),))</f>
        <v/>
      </c>
      <c r="D23" s="375" t="str">
        <f ca="1" xml:space="preserve"> IF(ROWS($1:4)&gt;COUNT(Dong3),"",OFFSET('SO-TS'!D$1,SMALL(Dong3,ROWS($1:4)),))</f>
        <v/>
      </c>
      <c r="E23" s="376" t="str">
        <f ca="1" xml:space="preserve"> IF(ROWS($1:4)&gt;COUNT(Dong3),"",OFFSET('SO-TS'!H$1,SMALL(Dong3,ROWS($1:4)),))</f>
        <v/>
      </c>
      <c r="F23" s="377" t="str">
        <f ca="1">IF(OR(F22="",AND((ROW()-19)&gt;OFFSET('SO-TS'!I$1,SMALL(Dong3,ROWS(3:3)),)+1),$E$29-H22&lt;=0),"",IF(VALUE(F22)&gt;=VALUE(YEAR(TH!$C$10)),"",F22+1))</f>
        <v/>
      </c>
      <c r="G23" s="489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88">
        <f t="shared" ca="1" si="1"/>
        <v>0</v>
      </c>
      <c r="I23" s="349"/>
      <c r="J23" s="349"/>
      <c r="K23" s="349"/>
    </row>
    <row r="24" spans="1:11" ht="17.25" customHeight="1">
      <c r="A24" s="294" t="str">
        <f t="shared" ca="1" si="0"/>
        <v/>
      </c>
      <c r="B24" s="350" t="str">
        <f ca="1" xml:space="preserve"> IF(ROWS($1:5)&gt;COUNT(Dong3),"",OFFSET('SO-TS'!G$1,SMALL(Dong3,ROWS($1:5)),))</f>
        <v/>
      </c>
      <c r="C24" s="350" t="str">
        <f ca="1" xml:space="preserve"> IF(ROWS($1:5)&gt;COUNT(Dong3),"",OFFSET('SO-TS'!F$1,SMALL(Dong3,ROWS($1:5)),))</f>
        <v/>
      </c>
      <c r="D24" s="375" t="str">
        <f ca="1" xml:space="preserve"> IF(ROWS($1:5)&gt;COUNT(Dong3),"",OFFSET('SO-TS'!D$1,SMALL(Dong3,ROWS($1:5)),))</f>
        <v/>
      </c>
      <c r="E24" s="376" t="str">
        <f ca="1" xml:space="preserve"> IF(ROWS($1:5)&gt;COUNT(Dong3),"",OFFSET('SO-TS'!H$1,SMALL(Dong3,ROWS($1:5)),))</f>
        <v/>
      </c>
      <c r="F24" s="377" t="str">
        <f ca="1">IF(OR(F23="",AND((ROW()-19)&gt;OFFSET('SO-TS'!I$1,SMALL(Dong3,ROWS(4:4)),)+1),$E$29-H23&lt;=0),"",IF(VALUE(F23)&gt;=VALUE(YEAR(TH!$C$10)),"",F23+1))</f>
        <v/>
      </c>
      <c r="G24" s="489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88">
        <f t="shared" ca="1" si="1"/>
        <v>0</v>
      </c>
      <c r="I24" s="349"/>
      <c r="J24" s="349"/>
      <c r="K24" s="349"/>
    </row>
    <row r="25" spans="1:11" ht="17.25" customHeight="1">
      <c r="A25" s="294" t="str">
        <f t="shared" si="0"/>
        <v/>
      </c>
      <c r="B25" s="783"/>
      <c r="C25" s="783"/>
      <c r="D25" s="784"/>
      <c r="E25" s="135"/>
      <c r="F25" s="377" t="str">
        <f ca="1">IF(OR(F24="",AND((ROW()-19)&gt;OFFSET('SO-TS'!I$1,SMALL(Dong3,ROWS(5:5)),)+1),$E$29-H24&lt;=0),"",IF(VALUE(F24)&gt;=VALUE(YEAR(TH!$C$10)),"",F24+1))</f>
        <v/>
      </c>
      <c r="G25" s="489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88">
        <f t="shared" ca="1" si="1"/>
        <v>0</v>
      </c>
      <c r="I25" s="349"/>
      <c r="J25" s="349"/>
      <c r="K25" s="349"/>
    </row>
    <row r="26" spans="1:11" ht="17.25" customHeight="1">
      <c r="A26" s="294" t="str">
        <f t="shared" si="0"/>
        <v/>
      </c>
      <c r="B26" s="783"/>
      <c r="C26" s="783"/>
      <c r="D26" s="784"/>
      <c r="E26" s="135"/>
      <c r="F26" s="377" t="str">
        <f ca="1">IF(OR(F25="",AND((ROW()-19)&gt;OFFSET('SO-TS'!I$1,SMALL(Dong3,ROWS(6:6)),)+1),$E$29-H25&lt;=0),"",IF(VALUE(F25)&gt;=VALUE(YEAR(TH!$C$10)),"",F25+1))</f>
        <v/>
      </c>
      <c r="G26" s="489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88">
        <f t="shared" ca="1" si="1"/>
        <v>0</v>
      </c>
      <c r="I26" s="349"/>
      <c r="J26" s="349"/>
      <c r="K26" s="349"/>
    </row>
    <row r="27" spans="1:11" ht="17.25" customHeight="1">
      <c r="A27" s="294" t="str">
        <f t="shared" si="0"/>
        <v/>
      </c>
      <c r="B27" s="783"/>
      <c r="C27" s="783"/>
      <c r="D27" s="784"/>
      <c r="E27" s="135"/>
      <c r="F27" s="377" t="str">
        <f ca="1">IF(OR(F26="",AND((ROW()-19)&gt;OFFSET('SO-TS'!I$1,SMALL(Dong3,ROWS(7:7)),)+1),$E$29-H26&lt;=0),"",IF(VALUE(F26)&gt;=VALUE(YEAR(TH!$C$10)),"",F26+1))</f>
        <v/>
      </c>
      <c r="G27" s="489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88">
        <f t="shared" ca="1" si="1"/>
        <v>0</v>
      </c>
      <c r="I27" s="349"/>
      <c r="J27" s="349"/>
      <c r="K27" s="349"/>
    </row>
    <row r="28" spans="1:11" ht="17.25" customHeight="1">
      <c r="A28" s="785" t="str">
        <f t="shared" ref="A28" si="2">IF(B28&lt;&gt;"",ROW()-19,"")</f>
        <v/>
      </c>
      <c r="B28" s="786"/>
      <c r="C28" s="787"/>
      <c r="D28" s="787"/>
      <c r="E28" s="788"/>
      <c r="F28" s="789"/>
      <c r="G28" s="788"/>
      <c r="H28" s="788"/>
      <c r="I28" s="349"/>
      <c r="J28" s="349"/>
      <c r="K28" s="349"/>
    </row>
    <row r="29" spans="1:11" ht="17.25" customHeight="1">
      <c r="A29" s="321"/>
      <c r="B29" s="321" t="s">
        <v>306</v>
      </c>
      <c r="C29" s="351"/>
      <c r="D29" s="351"/>
      <c r="E29" s="378">
        <f ca="1">SUM(E20:E28)</f>
        <v>15000000</v>
      </c>
      <c r="F29" s="351"/>
      <c r="G29" s="378">
        <f ca="1">SUM(G20:G28)</f>
        <v>1500000</v>
      </c>
      <c r="H29" s="378"/>
      <c r="I29" s="349"/>
      <c r="J29" s="349"/>
      <c r="K29" s="349"/>
    </row>
    <row r="30" spans="1:11" ht="17.25" customHeight="1">
      <c r="A30" s="352"/>
      <c r="B30" s="352"/>
      <c r="C30" s="353"/>
      <c r="D30" s="353"/>
      <c r="E30" s="353"/>
      <c r="F30" s="353"/>
      <c r="G30" s="354"/>
      <c r="H30" s="354"/>
      <c r="I30" s="349"/>
      <c r="J30" s="349"/>
      <c r="K30" s="349"/>
    </row>
    <row r="31" spans="1:11" ht="17.25" customHeight="1">
      <c r="A31" s="352"/>
      <c r="B31" s="352"/>
      <c r="C31" s="353"/>
      <c r="D31" s="353"/>
      <c r="E31" s="353"/>
      <c r="F31" s="353"/>
      <c r="G31" s="354"/>
      <c r="H31" s="354"/>
      <c r="I31" s="349"/>
      <c r="J31" s="349"/>
      <c r="K31" s="349"/>
    </row>
    <row r="32" spans="1:11" ht="17.25" customHeight="1">
      <c r="A32" s="985" t="s">
        <v>307</v>
      </c>
      <c r="B32" s="985"/>
      <c r="C32" s="985"/>
      <c r="D32" s="985"/>
      <c r="E32" s="985"/>
      <c r="F32" s="985"/>
      <c r="G32" s="985"/>
      <c r="H32" s="985"/>
      <c r="I32" s="349"/>
      <c r="J32" s="349"/>
      <c r="K32" s="349"/>
    </row>
    <row r="33" spans="1:11" ht="27" customHeight="1">
      <c r="A33" s="321" t="s">
        <v>34</v>
      </c>
      <c r="B33" s="958" t="s">
        <v>308</v>
      </c>
      <c r="C33" s="960"/>
      <c r="D33" s="351" t="s">
        <v>185</v>
      </c>
      <c r="E33" s="351" t="s">
        <v>309</v>
      </c>
      <c r="F33" s="351" t="s">
        <v>310</v>
      </c>
      <c r="G33" s="354"/>
      <c r="H33" s="354"/>
      <c r="I33" s="349"/>
      <c r="J33" s="349"/>
      <c r="K33" s="349"/>
    </row>
    <row r="34" spans="1:11" ht="17.25" customHeight="1">
      <c r="A34" s="321" t="s">
        <v>2</v>
      </c>
      <c r="B34" s="321" t="s">
        <v>3</v>
      </c>
      <c r="C34" s="351"/>
      <c r="D34" s="351" t="s">
        <v>4</v>
      </c>
      <c r="E34" s="351">
        <v>1</v>
      </c>
      <c r="F34" s="351">
        <v>2</v>
      </c>
      <c r="G34" s="354"/>
      <c r="H34" s="354"/>
      <c r="I34" s="349"/>
      <c r="J34" s="349"/>
      <c r="K34" s="349"/>
    </row>
    <row r="35" spans="1:11" ht="17.25" customHeight="1">
      <c r="A35" s="355"/>
      <c r="B35" s="355"/>
      <c r="C35" s="356"/>
      <c r="D35" s="356"/>
      <c r="E35" s="356"/>
      <c r="F35" s="356"/>
      <c r="G35" s="354"/>
      <c r="H35" s="354"/>
      <c r="I35" s="349"/>
      <c r="J35" s="349"/>
      <c r="K35" s="349"/>
    </row>
    <row r="36" spans="1:11" ht="17.25" customHeight="1">
      <c r="A36" s="357"/>
      <c r="B36" s="357"/>
      <c r="C36" s="358"/>
      <c r="D36" s="358"/>
      <c r="E36" s="358"/>
      <c r="F36" s="358"/>
      <c r="G36" s="354"/>
      <c r="H36" s="354"/>
      <c r="I36" s="349"/>
      <c r="J36" s="349"/>
      <c r="K36" s="349"/>
    </row>
    <row r="37" spans="1:11" ht="17.25" customHeight="1">
      <c r="A37" s="357"/>
      <c r="B37" s="357"/>
      <c r="C37" s="358"/>
      <c r="D37" s="358"/>
      <c r="E37" s="358"/>
      <c r="F37" s="358"/>
      <c r="G37" s="354"/>
      <c r="H37" s="354"/>
      <c r="I37" s="349"/>
      <c r="J37" s="349"/>
      <c r="K37" s="349"/>
    </row>
    <row r="38" spans="1:11" ht="17.25" customHeight="1">
      <c r="A38" s="357"/>
      <c r="B38" s="357"/>
      <c r="C38" s="358"/>
      <c r="D38" s="358"/>
      <c r="E38" s="358"/>
      <c r="F38" s="358"/>
      <c r="G38" s="354"/>
      <c r="H38" s="354"/>
      <c r="I38" s="349"/>
      <c r="J38" s="349"/>
      <c r="K38" s="349"/>
    </row>
    <row r="39" spans="1:11" ht="17.25" customHeight="1">
      <c r="A39" s="359"/>
      <c r="B39" s="359"/>
      <c r="C39" s="360"/>
      <c r="D39" s="360"/>
      <c r="E39" s="360"/>
      <c r="F39" s="360"/>
      <c r="G39" s="354"/>
      <c r="H39" s="354"/>
      <c r="I39" s="349"/>
      <c r="J39" s="349"/>
      <c r="K39" s="349"/>
    </row>
    <row r="40" spans="1:11">
      <c r="A40" s="352"/>
      <c r="B40" s="352"/>
      <c r="C40" s="353"/>
      <c r="D40" s="353"/>
      <c r="E40" s="353"/>
      <c r="F40" s="353"/>
      <c r="G40" s="354"/>
      <c r="H40" s="354"/>
      <c r="I40" s="349"/>
      <c r="J40" s="349"/>
      <c r="K40" s="349"/>
    </row>
    <row r="41" spans="1:11">
      <c r="A41" s="969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69"/>
      <c r="C41" s="969"/>
      <c r="D41" s="969"/>
      <c r="E41" s="969"/>
      <c r="F41" s="969"/>
      <c r="G41" s="969"/>
      <c r="H41" s="969"/>
      <c r="I41" s="349"/>
      <c r="J41" s="349"/>
      <c r="K41" s="349"/>
    </row>
    <row r="42" spans="1:11">
      <c r="A42" s="969" t="str">
        <f ca="1" xml:space="preserve"> IF(ROWS($1:1)&gt;COUNT(Dong3),"","Lý do giảm:   "&amp;OFFSET('SO-TS'!$O$1,SMALL(Dong3,ROWS($1:1)),))</f>
        <v xml:space="preserve">Lý do giảm:   </v>
      </c>
      <c r="B42" s="969"/>
      <c r="C42" s="969"/>
      <c r="D42" s="969"/>
      <c r="E42" s="969"/>
      <c r="F42" s="969"/>
      <c r="G42" s="969"/>
      <c r="H42" s="969"/>
      <c r="I42" s="349"/>
      <c r="J42" s="349"/>
      <c r="K42" s="349"/>
    </row>
    <row r="43" spans="1:11">
      <c r="A43" s="331"/>
      <c r="B43" s="331"/>
      <c r="C43" s="326"/>
      <c r="D43" s="326"/>
      <c r="E43" s="973" t="str">
        <f>"Ngày 31 tháng  12  năm  "&amp;YEAR(TH!$C$10)</f>
        <v>Ngày 31 tháng  12  năm  2016</v>
      </c>
      <c r="F43" s="973"/>
      <c r="G43" s="973"/>
      <c r="H43" s="973"/>
      <c r="I43" s="349"/>
      <c r="J43" s="349"/>
      <c r="K43" s="349"/>
    </row>
    <row r="44" spans="1:11">
      <c r="A44" s="970" t="s">
        <v>311</v>
      </c>
      <c r="B44" s="970"/>
      <c r="C44" s="970" t="s">
        <v>12</v>
      </c>
      <c r="D44" s="970"/>
      <c r="E44" s="965" t="s">
        <v>104</v>
      </c>
      <c r="F44" s="965"/>
      <c r="G44" s="965"/>
      <c r="H44" s="965"/>
      <c r="I44" s="349"/>
      <c r="J44" s="349"/>
      <c r="K44" s="349"/>
    </row>
    <row r="45" spans="1:11">
      <c r="A45" s="349"/>
      <c r="B45" s="349"/>
      <c r="C45" s="349"/>
      <c r="D45" s="349"/>
      <c r="E45" s="349"/>
      <c r="F45" s="349"/>
      <c r="G45" s="349"/>
      <c r="H45" s="349"/>
      <c r="I45" s="349"/>
      <c r="J45" s="349"/>
      <c r="K45" s="349"/>
    </row>
  </sheetData>
  <dataConsolidate/>
  <mergeCells count="17">
    <mergeCell ref="B33:C33"/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2017-03-17T02:33:18Z</cp:lastPrinted>
  <dcterms:created xsi:type="dcterms:W3CDTF">1996-10-14T23:33:28Z</dcterms:created>
  <dcterms:modified xsi:type="dcterms:W3CDTF">2017-04-01T05:05:08Z</dcterms:modified>
</cp:coreProperties>
</file>