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1\Desktop\KDP---KNA\1101819710\2017\"/>
    </mc:Choice>
  </mc:AlternateContent>
  <bookViews>
    <workbookView xWindow="120" yWindow="450" windowWidth="15150" windowHeight="8340" tabRatio="930"/>
  </bookViews>
  <sheets>
    <sheet name="TH" sheetId="15" r:id="rId1"/>
    <sheet name="CC -1" sheetId="47" r:id="rId2"/>
    <sheet name="L - 1" sheetId="48" r:id="rId3"/>
    <sheet name="CC -2" sheetId="49" r:id="rId4"/>
    <sheet name="L - 2" sheetId="50" r:id="rId5"/>
    <sheet name="CC -3" sheetId="51" r:id="rId6"/>
    <sheet name="L - 3" sheetId="52" r:id="rId7"/>
    <sheet name="CC -4" sheetId="53" r:id="rId8"/>
    <sheet name="L - 4" sheetId="54" r:id="rId9"/>
    <sheet name="CC -5" sheetId="14" r:id="rId10"/>
    <sheet name="L - 5" sheetId="16" r:id="rId11"/>
    <sheet name="CC -6" sheetId="33" r:id="rId12"/>
    <sheet name="L - 6" sheetId="34" r:id="rId13"/>
    <sheet name="CC -7" sheetId="35" r:id="rId14"/>
    <sheet name="L - 7" sheetId="36" r:id="rId15"/>
    <sheet name="CC - 8" sheetId="37" r:id="rId16"/>
    <sheet name="L - 8" sheetId="38" r:id="rId17"/>
    <sheet name="CC -9" sheetId="39" r:id="rId18"/>
    <sheet name="L - 9" sheetId="40" r:id="rId19"/>
    <sheet name="CC -10" sheetId="41" r:id="rId20"/>
    <sheet name="L - 10" sheetId="42" r:id="rId21"/>
    <sheet name="CC -11" sheetId="43" r:id="rId22"/>
    <sheet name="L - 11" sheetId="44" r:id="rId23"/>
    <sheet name="CC -12" sheetId="45" r:id="rId24"/>
    <sheet name="L - 12" sheetId="46" r:id="rId25"/>
  </sheets>
  <definedNames>
    <definedName name="____a1" hidden="1">{"'Sheet1'!$L$16"}</definedName>
    <definedName name="_a1" localSheetId="15" hidden="1">{"'Sheet1'!$L$16"}</definedName>
    <definedName name="_a1" localSheetId="1" hidden="1">{"'Sheet1'!$L$16"}</definedName>
    <definedName name="_a1" localSheetId="19" hidden="1">{"'Sheet1'!$L$16"}</definedName>
    <definedName name="_a1" localSheetId="21" hidden="1">{"'Sheet1'!$L$16"}</definedName>
    <definedName name="_a1" localSheetId="23" hidden="1">{"'Sheet1'!$L$16"}</definedName>
    <definedName name="_a1" localSheetId="3" hidden="1">{"'Sheet1'!$L$16"}</definedName>
    <definedName name="_a1" localSheetId="5" hidden="1">{"'Sheet1'!$L$16"}</definedName>
    <definedName name="_a1" localSheetId="7" hidden="1">{"'Sheet1'!$L$16"}</definedName>
    <definedName name="_a1" localSheetId="9" hidden="1">{"'Sheet1'!$L$16"}</definedName>
    <definedName name="_a1" localSheetId="11" hidden="1">{"'Sheet1'!$L$16"}</definedName>
    <definedName name="_a1" localSheetId="13" hidden="1">{"'Sheet1'!$L$16"}</definedName>
    <definedName name="_a1" localSheetId="17" hidden="1">{"'Sheet1'!$L$16"}</definedName>
    <definedName name="_a1" localSheetId="2" hidden="1">{"'Sheet1'!$L$16"}</definedName>
    <definedName name="_a1" localSheetId="20" hidden="1">{"'Sheet1'!$L$16"}</definedName>
    <definedName name="_a1" localSheetId="22" hidden="1">{"'Sheet1'!$L$16"}</definedName>
    <definedName name="_a1" localSheetId="24" hidden="1">{"'Sheet1'!$L$16"}</definedName>
    <definedName name="_a1" localSheetId="4" hidden="1">{"'Sheet1'!$L$16"}</definedName>
    <definedName name="_a1" localSheetId="6" hidden="1">{"'Sheet1'!$L$16"}</definedName>
    <definedName name="_a1" localSheetId="8" hidden="1">{"'Sheet1'!$L$16"}</definedName>
    <definedName name="_a1" localSheetId="10" hidden="1">{"'Sheet1'!$L$16"}</definedName>
    <definedName name="_a1" localSheetId="12" hidden="1">{"'Sheet1'!$L$16"}</definedName>
    <definedName name="_a1" localSheetId="14" hidden="1">{"'Sheet1'!$L$16"}</definedName>
    <definedName name="_a1" localSheetId="16" hidden="1">{"'Sheet1'!$L$16"}</definedName>
    <definedName name="_a1" localSheetId="18" hidden="1">{"'Sheet1'!$L$16"}</definedName>
    <definedName name="_a1" localSheetId="0" hidden="1">{"'Sheet1'!$L$16"}</definedName>
    <definedName name="_a1" hidden="1">{"'Sheet1'!$L$16"}</definedName>
    <definedName name="_Fill" hidden="1">#REF!</definedName>
    <definedName name="_xlnm._FilterDatabase" localSheetId="15" hidden="1">'CC - 8'!$A$7:$AS$7</definedName>
    <definedName name="_xlnm._FilterDatabase" localSheetId="1" hidden="1">'CC -1'!$A$7:$AS$7</definedName>
    <definedName name="_xlnm._FilterDatabase" localSheetId="19" hidden="1">'CC -10'!$A$7:$AS$7</definedName>
    <definedName name="_xlnm._FilterDatabase" localSheetId="21" hidden="1">'CC -11'!$A$7:$AS$7</definedName>
    <definedName name="_xlnm._FilterDatabase" localSheetId="23" hidden="1">'CC -12'!$A$7:$AS$7</definedName>
    <definedName name="_xlnm._FilterDatabase" localSheetId="3" hidden="1">'CC -2'!$A$7:$AQ$7</definedName>
    <definedName name="_xlnm._FilterDatabase" localSheetId="5" hidden="1">'CC -3'!$A$7:$AS$7</definedName>
    <definedName name="_xlnm._FilterDatabase" localSheetId="7" hidden="1">'CC -4'!$A$7:$AR$7</definedName>
    <definedName name="_xlnm._FilterDatabase" localSheetId="9" hidden="1">'CC -5'!$A$7:$AS$7</definedName>
    <definedName name="_xlnm._FilterDatabase" localSheetId="11" hidden="1">'CC -6'!$A$7:$AS$7</definedName>
    <definedName name="_xlnm._FilterDatabase" localSheetId="13" hidden="1">'CC -7'!$A$7:$AS$7</definedName>
    <definedName name="_xlnm._FilterDatabase" localSheetId="17" hidden="1">'CC -9'!$A$7:$AS$7</definedName>
    <definedName name="_xlnm._FilterDatabase" localSheetId="2" hidden="1">'L - 1'!$A$7:$AE$9</definedName>
    <definedName name="_xlnm._FilterDatabase" localSheetId="20" hidden="1">'L - 10'!$A$7:$AE$10</definedName>
    <definedName name="_xlnm._FilterDatabase" localSheetId="22" hidden="1">'L - 11'!$A$7:$AE$10</definedName>
    <definedName name="_xlnm._FilterDatabase" localSheetId="24" hidden="1">'L - 12'!$A$7:$AE$10</definedName>
    <definedName name="_xlnm._FilterDatabase" localSheetId="4" hidden="1">'L - 2'!$A$7:$AE$10</definedName>
    <definedName name="_xlnm._FilterDatabase" localSheetId="6" hidden="1">'L - 3'!$A$7:$AE$10</definedName>
    <definedName name="_xlnm._FilterDatabase" localSheetId="8" hidden="1">'L - 4'!$A$7:$AE$10</definedName>
    <definedName name="_xlnm._FilterDatabase" localSheetId="10" hidden="1">'L - 5'!$A$7:$AE$10</definedName>
    <definedName name="_xlnm._FilterDatabase" localSheetId="12" hidden="1">'L - 6'!$A$7:$AE$10</definedName>
    <definedName name="_xlnm._FilterDatabase" localSheetId="14" hidden="1">'L - 7'!$A$7:$AE$10</definedName>
    <definedName name="_xlnm._FilterDatabase" localSheetId="16" hidden="1">'L - 8'!$A$7:$AE$10</definedName>
    <definedName name="_xlnm._FilterDatabase" localSheetId="18" hidden="1">'L - 9'!$A$7:$AE$10</definedName>
    <definedName name="_xlnm._FilterDatabase" localSheetId="0" hidden="1">TH!$A$9:$AL$13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CP" hidden="1">#REF!</definedName>
    <definedName name="dh" localSheetId="15" hidden="1">{#N/A,#N/A,FALSE,"Chi tiÆt"}</definedName>
    <definedName name="dh" localSheetId="1" hidden="1">{#N/A,#N/A,FALSE,"Chi tiÆt"}</definedName>
    <definedName name="dh" localSheetId="19" hidden="1">{#N/A,#N/A,FALSE,"Chi tiÆt"}</definedName>
    <definedName name="dh" localSheetId="21" hidden="1">{#N/A,#N/A,FALSE,"Chi tiÆt"}</definedName>
    <definedName name="dh" localSheetId="23" hidden="1">{#N/A,#N/A,FALSE,"Chi tiÆt"}</definedName>
    <definedName name="dh" localSheetId="3" hidden="1">{#N/A,#N/A,FALSE,"Chi tiÆt"}</definedName>
    <definedName name="dh" localSheetId="5" hidden="1">{#N/A,#N/A,FALSE,"Chi tiÆt"}</definedName>
    <definedName name="dh" localSheetId="7" hidden="1">{#N/A,#N/A,FALSE,"Chi tiÆt"}</definedName>
    <definedName name="dh" localSheetId="9" hidden="1">{#N/A,#N/A,FALSE,"Chi tiÆt"}</definedName>
    <definedName name="dh" localSheetId="11" hidden="1">{#N/A,#N/A,FALSE,"Chi tiÆt"}</definedName>
    <definedName name="dh" localSheetId="13" hidden="1">{#N/A,#N/A,FALSE,"Chi tiÆt"}</definedName>
    <definedName name="dh" localSheetId="17" hidden="1">{#N/A,#N/A,FALSE,"Chi tiÆt"}</definedName>
    <definedName name="dh" localSheetId="2" hidden="1">{#N/A,#N/A,FALSE,"Chi tiÆt"}</definedName>
    <definedName name="dh" localSheetId="20" hidden="1">{#N/A,#N/A,FALSE,"Chi tiÆt"}</definedName>
    <definedName name="dh" localSheetId="22" hidden="1">{#N/A,#N/A,FALSE,"Chi tiÆt"}</definedName>
    <definedName name="dh" localSheetId="24" hidden="1">{#N/A,#N/A,FALSE,"Chi tiÆt"}</definedName>
    <definedName name="dh" localSheetId="4" hidden="1">{#N/A,#N/A,FALSE,"Chi tiÆt"}</definedName>
    <definedName name="dh" localSheetId="6" hidden="1">{#N/A,#N/A,FALSE,"Chi tiÆt"}</definedName>
    <definedName name="dh" localSheetId="8" hidden="1">{#N/A,#N/A,FALSE,"Chi tiÆt"}</definedName>
    <definedName name="dh" localSheetId="10" hidden="1">{#N/A,#N/A,FALSE,"Chi tiÆt"}</definedName>
    <definedName name="dh" localSheetId="12" hidden="1">{#N/A,#N/A,FALSE,"Chi tiÆt"}</definedName>
    <definedName name="dh" localSheetId="14" hidden="1">{#N/A,#N/A,FALSE,"Chi tiÆt"}</definedName>
    <definedName name="dh" localSheetId="16" hidden="1">{#N/A,#N/A,FALSE,"Chi tiÆt"}</definedName>
    <definedName name="dh" localSheetId="18" hidden="1">{#N/A,#N/A,FALSE,"Chi tiÆt"}</definedName>
    <definedName name="dh" localSheetId="0" hidden="1">{#N/A,#N/A,FALSE,"Chi tiÆt"}</definedName>
    <definedName name="dh" hidden="1">{#N/A,#N/A,FALSE,"Chi tiÆt"}</definedName>
    <definedName name="DS">TH!$B$10:$AJ$20</definedName>
    <definedName name="DS_01">'L - 1'!$B$9:$T$19</definedName>
    <definedName name="DS_02">'L - 2'!$B$9:$T$19</definedName>
    <definedName name="DS_03">'L - 3'!$B$9:$T$19</definedName>
    <definedName name="DS_04">'L - 4'!$B$9:$T$19</definedName>
    <definedName name="DS_05">'L - 5'!$B$9:$T$18</definedName>
    <definedName name="DS_06">'L - 6'!$B$9:$T$18</definedName>
    <definedName name="DS_07">'L - 7'!$B$9:$T$18</definedName>
    <definedName name="DS_08">'L - 8'!$B$9:$T$18</definedName>
    <definedName name="DS_09">'L - 9'!$B$9:$T$18</definedName>
    <definedName name="DS_10">'L - 10'!$B$9:$T$18</definedName>
    <definedName name="DS_11">'L - 11'!$B$9:$T$18</definedName>
    <definedName name="DS_12">'L - 12'!$B$9:$T$18</definedName>
    <definedName name="GFSAH" localSheetId="15" hidden="1">{"'Sheet1'!$L$16"}</definedName>
    <definedName name="GFSAH" localSheetId="1" hidden="1">{"'Sheet1'!$L$16"}</definedName>
    <definedName name="GFSAH" localSheetId="19" hidden="1">{"'Sheet1'!$L$16"}</definedName>
    <definedName name="GFSAH" localSheetId="21" hidden="1">{"'Sheet1'!$L$16"}</definedName>
    <definedName name="GFSAH" localSheetId="23" hidden="1">{"'Sheet1'!$L$16"}</definedName>
    <definedName name="GFSAH" localSheetId="3" hidden="1">{"'Sheet1'!$L$16"}</definedName>
    <definedName name="GFSAH" localSheetId="5" hidden="1">{"'Sheet1'!$L$16"}</definedName>
    <definedName name="GFSAH" localSheetId="7" hidden="1">{"'Sheet1'!$L$16"}</definedName>
    <definedName name="GFSAH" localSheetId="9" hidden="1">{"'Sheet1'!$L$16"}</definedName>
    <definedName name="GFSAH" localSheetId="11" hidden="1">{"'Sheet1'!$L$16"}</definedName>
    <definedName name="GFSAH" localSheetId="13" hidden="1">{"'Sheet1'!$L$16"}</definedName>
    <definedName name="GFSAH" localSheetId="17" hidden="1">{"'Sheet1'!$L$16"}</definedName>
    <definedName name="GFSAH" localSheetId="2" hidden="1">{"'Sheet1'!$L$16"}</definedName>
    <definedName name="GFSAH" localSheetId="20" hidden="1">{"'Sheet1'!$L$16"}</definedName>
    <definedName name="GFSAH" localSheetId="22" hidden="1">{"'Sheet1'!$L$16"}</definedName>
    <definedName name="GFSAH" localSheetId="24" hidden="1">{"'Sheet1'!$L$16"}</definedName>
    <definedName name="GFSAH" localSheetId="4" hidden="1">{"'Sheet1'!$L$16"}</definedName>
    <definedName name="GFSAH" localSheetId="6" hidden="1">{"'Sheet1'!$L$16"}</definedName>
    <definedName name="GFSAH" localSheetId="8" hidden="1">{"'Sheet1'!$L$16"}</definedName>
    <definedName name="GFSAH" localSheetId="10" hidden="1">{"'Sheet1'!$L$16"}</definedName>
    <definedName name="GFSAH" localSheetId="12" hidden="1">{"'Sheet1'!$L$16"}</definedName>
    <definedName name="GFSAH" localSheetId="14" hidden="1">{"'Sheet1'!$L$16"}</definedName>
    <definedName name="GFSAH" localSheetId="16" hidden="1">{"'Sheet1'!$L$16"}</definedName>
    <definedName name="GFSAH" localSheetId="18" hidden="1">{"'Sheet1'!$L$16"}</definedName>
    <definedName name="GFSAH" localSheetId="0" hidden="1">{"'Sheet1'!$L$16"}</definedName>
    <definedName name="GFSAH" hidden="1">{"'Sheet1'!$L$16"}</definedName>
    <definedName name="GJFXJXJ" localSheetId="15" hidden="1">{#N/A,#N/A,FALSE,"Chi tiÆt"}</definedName>
    <definedName name="GJFXJXJ" localSheetId="1" hidden="1">{#N/A,#N/A,FALSE,"Chi tiÆt"}</definedName>
    <definedName name="GJFXJXJ" localSheetId="19" hidden="1">{#N/A,#N/A,FALSE,"Chi tiÆt"}</definedName>
    <definedName name="GJFXJXJ" localSheetId="21" hidden="1">{#N/A,#N/A,FALSE,"Chi tiÆt"}</definedName>
    <definedName name="GJFXJXJ" localSheetId="23" hidden="1">{#N/A,#N/A,FALSE,"Chi tiÆt"}</definedName>
    <definedName name="GJFXJXJ" localSheetId="3" hidden="1">{#N/A,#N/A,FALSE,"Chi tiÆt"}</definedName>
    <definedName name="GJFXJXJ" localSheetId="5" hidden="1">{#N/A,#N/A,FALSE,"Chi tiÆt"}</definedName>
    <definedName name="GJFXJXJ" localSheetId="7" hidden="1">{#N/A,#N/A,FALSE,"Chi tiÆt"}</definedName>
    <definedName name="GJFXJXJ" localSheetId="9" hidden="1">{#N/A,#N/A,FALSE,"Chi tiÆt"}</definedName>
    <definedName name="GJFXJXJ" localSheetId="11" hidden="1">{#N/A,#N/A,FALSE,"Chi tiÆt"}</definedName>
    <definedName name="GJFXJXJ" localSheetId="13" hidden="1">{#N/A,#N/A,FALSE,"Chi tiÆt"}</definedName>
    <definedName name="GJFXJXJ" localSheetId="17" hidden="1">{#N/A,#N/A,FALSE,"Chi tiÆt"}</definedName>
    <definedName name="GJFXJXJ" localSheetId="2" hidden="1">{#N/A,#N/A,FALSE,"Chi tiÆt"}</definedName>
    <definedName name="GJFXJXJ" localSheetId="20" hidden="1">{#N/A,#N/A,FALSE,"Chi tiÆt"}</definedName>
    <definedName name="GJFXJXJ" localSheetId="22" hidden="1">{#N/A,#N/A,FALSE,"Chi tiÆt"}</definedName>
    <definedName name="GJFXJXJ" localSheetId="24" hidden="1">{#N/A,#N/A,FALSE,"Chi tiÆt"}</definedName>
    <definedName name="GJFXJXJ" localSheetId="4" hidden="1">{#N/A,#N/A,FALSE,"Chi tiÆt"}</definedName>
    <definedName name="GJFXJXJ" localSheetId="6" hidden="1">{#N/A,#N/A,FALSE,"Chi tiÆt"}</definedName>
    <definedName name="GJFXJXJ" localSheetId="8" hidden="1">{#N/A,#N/A,FALSE,"Chi tiÆt"}</definedName>
    <definedName name="GJFXJXJ" localSheetId="10" hidden="1">{#N/A,#N/A,FALSE,"Chi tiÆt"}</definedName>
    <definedName name="GJFXJXJ" localSheetId="12" hidden="1">{#N/A,#N/A,FALSE,"Chi tiÆt"}</definedName>
    <definedName name="GJFXJXJ" localSheetId="14" hidden="1">{#N/A,#N/A,FALSE,"Chi tiÆt"}</definedName>
    <definedName name="GJFXJXJ" localSheetId="16" hidden="1">{#N/A,#N/A,FALSE,"Chi tiÆt"}</definedName>
    <definedName name="GJFXJXJ" localSheetId="18" hidden="1">{#N/A,#N/A,FALSE,"Chi tiÆt"}</definedName>
    <definedName name="GJFXJXJ" localSheetId="0" hidden="1">{#N/A,#N/A,FALSE,"Chi tiÆt"}</definedName>
    <definedName name="GJFXJXJ" hidden="1">{#N/A,#N/A,FALSE,"Chi tiÆt"}</definedName>
    <definedName name="h" localSheetId="15" hidden="1">{"'Sheet1'!$L$16"}</definedName>
    <definedName name="h" localSheetId="1" hidden="1">{"'Sheet1'!$L$16"}</definedName>
    <definedName name="h" localSheetId="19" hidden="1">{"'Sheet1'!$L$16"}</definedName>
    <definedName name="h" localSheetId="21" hidden="1">{"'Sheet1'!$L$16"}</definedName>
    <definedName name="h" localSheetId="23" hidden="1">{"'Sheet1'!$L$16"}</definedName>
    <definedName name="h" localSheetId="3" hidden="1">{"'Sheet1'!$L$16"}</definedName>
    <definedName name="h" localSheetId="5" hidden="1">{"'Sheet1'!$L$16"}</definedName>
    <definedName name="h" localSheetId="7" hidden="1">{"'Sheet1'!$L$16"}</definedName>
    <definedName name="h" localSheetId="9" hidden="1">{"'Sheet1'!$L$16"}</definedName>
    <definedName name="h" localSheetId="11" hidden="1">{"'Sheet1'!$L$16"}</definedName>
    <definedName name="h" localSheetId="13" hidden="1">{"'Sheet1'!$L$16"}</definedName>
    <definedName name="h" localSheetId="17" hidden="1">{"'Sheet1'!$L$16"}</definedName>
    <definedName name="h" localSheetId="2" hidden="1">{"'Sheet1'!$L$16"}</definedName>
    <definedName name="h" localSheetId="20" hidden="1">{"'Sheet1'!$L$16"}</definedName>
    <definedName name="h" localSheetId="22" hidden="1">{"'Sheet1'!$L$16"}</definedName>
    <definedName name="h" localSheetId="24" hidden="1">{"'Sheet1'!$L$16"}</definedName>
    <definedName name="h" localSheetId="4" hidden="1">{"'Sheet1'!$L$16"}</definedName>
    <definedName name="h" localSheetId="6" hidden="1">{"'Sheet1'!$L$16"}</definedName>
    <definedName name="h" localSheetId="8" hidden="1">{"'Sheet1'!$L$16"}</definedName>
    <definedName name="h" localSheetId="10" hidden="1">{"'Sheet1'!$L$16"}</definedName>
    <definedName name="h" localSheetId="12" hidden="1">{"'Sheet1'!$L$16"}</definedName>
    <definedName name="h" localSheetId="14" hidden="1">{"'Sheet1'!$L$16"}</definedName>
    <definedName name="h" localSheetId="16" hidden="1">{"'Sheet1'!$L$16"}</definedName>
    <definedName name="h" localSheetId="18" hidden="1">{"'Sheet1'!$L$16"}</definedName>
    <definedName name="h" localSheetId="0" hidden="1">{"'Sheet1'!$L$16"}</definedName>
    <definedName name="h" hidden="1">{"'Sheet1'!$L$16"}</definedName>
    <definedName name="hsgdkhog" localSheetId="15" hidden="1">{#N/A,#N/A,FALSE,"Chi tiÆt"}</definedName>
    <definedName name="hsgdkhog" localSheetId="1" hidden="1">{#N/A,#N/A,FALSE,"Chi tiÆt"}</definedName>
    <definedName name="hsgdkhog" localSheetId="19" hidden="1">{#N/A,#N/A,FALSE,"Chi tiÆt"}</definedName>
    <definedName name="hsgdkhog" localSheetId="21" hidden="1">{#N/A,#N/A,FALSE,"Chi tiÆt"}</definedName>
    <definedName name="hsgdkhog" localSheetId="23" hidden="1">{#N/A,#N/A,FALSE,"Chi tiÆt"}</definedName>
    <definedName name="hsgdkhog" localSheetId="3" hidden="1">{#N/A,#N/A,FALSE,"Chi tiÆt"}</definedName>
    <definedName name="hsgdkhog" localSheetId="5" hidden="1">{#N/A,#N/A,FALSE,"Chi tiÆt"}</definedName>
    <definedName name="hsgdkhog" localSheetId="7" hidden="1">{#N/A,#N/A,FALSE,"Chi tiÆt"}</definedName>
    <definedName name="hsgdkhog" localSheetId="9" hidden="1">{#N/A,#N/A,FALSE,"Chi tiÆt"}</definedName>
    <definedName name="hsgdkhog" localSheetId="11" hidden="1">{#N/A,#N/A,FALSE,"Chi tiÆt"}</definedName>
    <definedName name="hsgdkhog" localSheetId="13" hidden="1">{#N/A,#N/A,FALSE,"Chi tiÆt"}</definedName>
    <definedName name="hsgdkhog" localSheetId="17" hidden="1">{#N/A,#N/A,FALSE,"Chi tiÆt"}</definedName>
    <definedName name="hsgdkhog" localSheetId="2" hidden="1">{#N/A,#N/A,FALSE,"Chi tiÆt"}</definedName>
    <definedName name="hsgdkhog" localSheetId="20" hidden="1">{#N/A,#N/A,FALSE,"Chi tiÆt"}</definedName>
    <definedName name="hsgdkhog" localSheetId="22" hidden="1">{#N/A,#N/A,FALSE,"Chi tiÆt"}</definedName>
    <definedName name="hsgdkhog" localSheetId="24" hidden="1">{#N/A,#N/A,FALSE,"Chi tiÆt"}</definedName>
    <definedName name="hsgdkhog" localSheetId="4" hidden="1">{#N/A,#N/A,FALSE,"Chi tiÆt"}</definedName>
    <definedName name="hsgdkhog" localSheetId="6" hidden="1">{#N/A,#N/A,FALSE,"Chi tiÆt"}</definedName>
    <definedName name="hsgdkhog" localSheetId="8" hidden="1">{#N/A,#N/A,FALSE,"Chi tiÆt"}</definedName>
    <definedName name="hsgdkhog" localSheetId="10" hidden="1">{#N/A,#N/A,FALSE,"Chi tiÆt"}</definedName>
    <definedName name="hsgdkhog" localSheetId="12" hidden="1">{#N/A,#N/A,FALSE,"Chi tiÆt"}</definedName>
    <definedName name="hsgdkhog" localSheetId="14" hidden="1">{#N/A,#N/A,FALSE,"Chi tiÆt"}</definedName>
    <definedName name="hsgdkhog" localSheetId="16" hidden="1">{#N/A,#N/A,FALSE,"Chi tiÆt"}</definedName>
    <definedName name="hsgdkhog" localSheetId="18" hidden="1">{#N/A,#N/A,FALSE,"Chi tiÆt"}</definedName>
    <definedName name="hsgdkhog" localSheetId="0" hidden="1">{#N/A,#N/A,FALSE,"Chi tiÆt"}</definedName>
    <definedName name="hsgdkhog" hidden="1">{#N/A,#N/A,FALSE,"Chi tiÆt"}</definedName>
    <definedName name="HTML_CodePage" hidden="1">950</definedName>
    <definedName name="HTML_Control" localSheetId="15" hidden="1">{"'Sheet1'!$L$16"}</definedName>
    <definedName name="HTML_Control" localSheetId="1" hidden="1">{"'Sheet1'!$L$16"}</definedName>
    <definedName name="HTML_Control" localSheetId="19" hidden="1">{"'Sheet1'!$L$16"}</definedName>
    <definedName name="HTML_Control" localSheetId="21" hidden="1">{"'Sheet1'!$L$16"}</definedName>
    <definedName name="HTML_Control" localSheetId="23" hidden="1">{"'Sheet1'!$L$16"}</definedName>
    <definedName name="HTML_Control" localSheetId="3" hidden="1">{"'Sheet1'!$L$16"}</definedName>
    <definedName name="HTML_Control" localSheetId="5" hidden="1">{"'Sheet1'!$L$16"}</definedName>
    <definedName name="HTML_Control" localSheetId="7" hidden="1">{"'Sheet1'!$L$16"}</definedName>
    <definedName name="HTML_Control" localSheetId="9" hidden="1">{"'Sheet1'!$L$16"}</definedName>
    <definedName name="HTML_Control" localSheetId="11" hidden="1">{"'Sheet1'!$L$16"}</definedName>
    <definedName name="HTML_Control" localSheetId="13" hidden="1">{"'Sheet1'!$L$16"}</definedName>
    <definedName name="HTML_Control" localSheetId="17" hidden="1">{"'Sheet1'!$L$16"}</definedName>
    <definedName name="HTML_Control" localSheetId="2" hidden="1">{"'Sheet1'!$L$16"}</definedName>
    <definedName name="HTML_Control" localSheetId="20" hidden="1">{"'Sheet1'!$L$16"}</definedName>
    <definedName name="HTML_Control" localSheetId="22" hidden="1">{"'Sheet1'!$L$16"}</definedName>
    <definedName name="HTML_Control" localSheetId="24" hidden="1">{"'Sheet1'!$L$16"}</definedName>
    <definedName name="HTML_Control" localSheetId="4" hidden="1">{"'Sheet1'!$L$16"}</definedName>
    <definedName name="HTML_Control" localSheetId="6" hidden="1">{"'Sheet1'!$L$16"}</definedName>
    <definedName name="HTML_Control" localSheetId="8" hidden="1">{"'Sheet1'!$L$16"}</definedName>
    <definedName name="HTML_Control" localSheetId="10" hidden="1">{"'Sheet1'!$L$16"}</definedName>
    <definedName name="HTML_Control" localSheetId="12" hidden="1">{"'Sheet1'!$L$16"}</definedName>
    <definedName name="HTML_Control" localSheetId="14" hidden="1">{"'Sheet1'!$L$16"}</definedName>
    <definedName name="HTML_Control" localSheetId="16" hidden="1">{"'Sheet1'!$L$16"}</definedName>
    <definedName name="HTML_Control" localSheetId="18" hidden="1">{"'Sheet1'!$L$16"}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15" hidden="1">{"'Sheet1'!$L$16"}</definedName>
    <definedName name="huy" localSheetId="1" hidden="1">{"'Sheet1'!$L$16"}</definedName>
    <definedName name="huy" localSheetId="19" hidden="1">{"'Sheet1'!$L$16"}</definedName>
    <definedName name="huy" localSheetId="21" hidden="1">{"'Sheet1'!$L$16"}</definedName>
    <definedName name="huy" localSheetId="23" hidden="1">{"'Sheet1'!$L$16"}</definedName>
    <definedName name="huy" localSheetId="3" hidden="1">{"'Sheet1'!$L$16"}</definedName>
    <definedName name="huy" localSheetId="5" hidden="1">{"'Sheet1'!$L$16"}</definedName>
    <definedName name="huy" localSheetId="7" hidden="1">{"'Sheet1'!$L$16"}</definedName>
    <definedName name="huy" localSheetId="9" hidden="1">{"'Sheet1'!$L$16"}</definedName>
    <definedName name="huy" localSheetId="11" hidden="1">{"'Sheet1'!$L$16"}</definedName>
    <definedName name="huy" localSheetId="13" hidden="1">{"'Sheet1'!$L$16"}</definedName>
    <definedName name="huy" localSheetId="17" hidden="1">{"'Sheet1'!$L$16"}</definedName>
    <definedName name="huy" localSheetId="2" hidden="1">{"'Sheet1'!$L$16"}</definedName>
    <definedName name="huy" localSheetId="20" hidden="1">{"'Sheet1'!$L$16"}</definedName>
    <definedName name="huy" localSheetId="22" hidden="1">{"'Sheet1'!$L$16"}</definedName>
    <definedName name="huy" localSheetId="24" hidden="1">{"'Sheet1'!$L$16"}</definedName>
    <definedName name="huy" localSheetId="4" hidden="1">{"'Sheet1'!$L$16"}</definedName>
    <definedName name="huy" localSheetId="6" hidden="1">{"'Sheet1'!$L$16"}</definedName>
    <definedName name="huy" localSheetId="8" hidden="1">{"'Sheet1'!$L$16"}</definedName>
    <definedName name="huy" localSheetId="10" hidden="1">{"'Sheet1'!$L$16"}</definedName>
    <definedName name="huy" localSheetId="12" hidden="1">{"'Sheet1'!$L$16"}</definedName>
    <definedName name="huy" localSheetId="14" hidden="1">{"'Sheet1'!$L$16"}</definedName>
    <definedName name="huy" localSheetId="16" hidden="1">{"'Sheet1'!$L$16"}</definedName>
    <definedName name="huy" localSheetId="18" hidden="1">{"'Sheet1'!$L$16"}</definedName>
    <definedName name="huy" localSheetId="0" hidden="1">{"'Sheet1'!$L$16"}</definedName>
    <definedName name="huy" hidden="1">{"'Sheet1'!$L$16"}</definedName>
    <definedName name="khkl" localSheetId="15" hidden="1">{"'Sheet1'!$L$16"}</definedName>
    <definedName name="khkl" localSheetId="1" hidden="1">{"'Sheet1'!$L$16"}</definedName>
    <definedName name="khkl" localSheetId="19" hidden="1">{"'Sheet1'!$L$16"}</definedName>
    <definedName name="khkl" localSheetId="21" hidden="1">{"'Sheet1'!$L$16"}</definedName>
    <definedName name="khkl" localSheetId="23" hidden="1">{"'Sheet1'!$L$16"}</definedName>
    <definedName name="khkl" localSheetId="3" hidden="1">{"'Sheet1'!$L$16"}</definedName>
    <definedName name="khkl" localSheetId="5" hidden="1">{"'Sheet1'!$L$16"}</definedName>
    <definedName name="khkl" localSheetId="7" hidden="1">{"'Sheet1'!$L$16"}</definedName>
    <definedName name="khkl" localSheetId="9" hidden="1">{"'Sheet1'!$L$16"}</definedName>
    <definedName name="khkl" localSheetId="11" hidden="1">{"'Sheet1'!$L$16"}</definedName>
    <definedName name="khkl" localSheetId="13" hidden="1">{"'Sheet1'!$L$16"}</definedName>
    <definedName name="khkl" localSheetId="17" hidden="1">{"'Sheet1'!$L$16"}</definedName>
    <definedName name="khkl" localSheetId="2" hidden="1">{"'Sheet1'!$L$16"}</definedName>
    <definedName name="khkl" localSheetId="20" hidden="1">{"'Sheet1'!$L$16"}</definedName>
    <definedName name="khkl" localSheetId="22" hidden="1">{"'Sheet1'!$L$16"}</definedName>
    <definedName name="khkl" localSheetId="24" hidden="1">{"'Sheet1'!$L$16"}</definedName>
    <definedName name="khkl" localSheetId="4" hidden="1">{"'Sheet1'!$L$16"}</definedName>
    <definedName name="khkl" localSheetId="6" hidden="1">{"'Sheet1'!$L$16"}</definedName>
    <definedName name="khkl" localSheetId="8" hidden="1">{"'Sheet1'!$L$16"}</definedName>
    <definedName name="khkl" localSheetId="10" hidden="1">{"'Sheet1'!$L$16"}</definedName>
    <definedName name="khkl" localSheetId="12" hidden="1">{"'Sheet1'!$L$16"}</definedName>
    <definedName name="khkl" localSheetId="14" hidden="1">{"'Sheet1'!$L$16"}</definedName>
    <definedName name="khkl" localSheetId="16" hidden="1">{"'Sheet1'!$L$16"}</definedName>
    <definedName name="khkl" localSheetId="18" hidden="1">{"'Sheet1'!$L$16"}</definedName>
    <definedName name="khkl" localSheetId="0" hidden="1">{"'Sheet1'!$L$16"}</definedName>
    <definedName name="khkl" hidden="1">{"'Sheet1'!$L$16"}</definedName>
    <definedName name="kjjh" localSheetId="15" hidden="1">{"'Sheet1'!$L$16"}</definedName>
    <definedName name="kjjh" localSheetId="1" hidden="1">{"'Sheet1'!$L$16"}</definedName>
    <definedName name="kjjh" localSheetId="19" hidden="1">{"'Sheet1'!$L$16"}</definedName>
    <definedName name="kjjh" localSheetId="21" hidden="1">{"'Sheet1'!$L$16"}</definedName>
    <definedName name="kjjh" localSheetId="23" hidden="1">{"'Sheet1'!$L$16"}</definedName>
    <definedName name="kjjh" localSheetId="3" hidden="1">{"'Sheet1'!$L$16"}</definedName>
    <definedName name="kjjh" localSheetId="5" hidden="1">{"'Sheet1'!$L$16"}</definedName>
    <definedName name="kjjh" localSheetId="7" hidden="1">{"'Sheet1'!$L$16"}</definedName>
    <definedName name="kjjh" localSheetId="9" hidden="1">{"'Sheet1'!$L$16"}</definedName>
    <definedName name="kjjh" localSheetId="11" hidden="1">{"'Sheet1'!$L$16"}</definedName>
    <definedName name="kjjh" localSheetId="13" hidden="1">{"'Sheet1'!$L$16"}</definedName>
    <definedName name="kjjh" localSheetId="17" hidden="1">{"'Sheet1'!$L$16"}</definedName>
    <definedName name="kjjh" localSheetId="2" hidden="1">{"'Sheet1'!$L$16"}</definedName>
    <definedName name="kjjh" localSheetId="20" hidden="1">{"'Sheet1'!$L$16"}</definedName>
    <definedName name="kjjh" localSheetId="22" hidden="1">{"'Sheet1'!$L$16"}</definedName>
    <definedName name="kjjh" localSheetId="24" hidden="1">{"'Sheet1'!$L$16"}</definedName>
    <definedName name="kjjh" localSheetId="4" hidden="1">{"'Sheet1'!$L$16"}</definedName>
    <definedName name="kjjh" localSheetId="6" hidden="1">{"'Sheet1'!$L$16"}</definedName>
    <definedName name="kjjh" localSheetId="8" hidden="1">{"'Sheet1'!$L$16"}</definedName>
    <definedName name="kjjh" localSheetId="10" hidden="1">{"'Sheet1'!$L$16"}</definedName>
    <definedName name="kjjh" localSheetId="12" hidden="1">{"'Sheet1'!$L$16"}</definedName>
    <definedName name="kjjh" localSheetId="14" hidden="1">{"'Sheet1'!$L$16"}</definedName>
    <definedName name="kjjh" localSheetId="16" hidden="1">{"'Sheet1'!$L$16"}</definedName>
    <definedName name="kjjh" localSheetId="18" hidden="1">{"'Sheet1'!$L$16"}</definedName>
    <definedName name="kjjh" localSheetId="0" hidden="1">{"'Sheet1'!$L$16"}</definedName>
    <definedName name="kjjh" hidden="1">{"'Sheet1'!$L$16"}</definedName>
    <definedName name="KTLDLAN3" localSheetId="15" hidden="1">{"'Sheet1'!$L$16"}</definedName>
    <definedName name="KTLDLAN3" localSheetId="1" hidden="1">{"'Sheet1'!$L$16"}</definedName>
    <definedName name="KTLDLAN3" localSheetId="19" hidden="1">{"'Sheet1'!$L$16"}</definedName>
    <definedName name="KTLDLAN3" localSheetId="21" hidden="1">{"'Sheet1'!$L$16"}</definedName>
    <definedName name="KTLDLAN3" localSheetId="23" hidden="1">{"'Sheet1'!$L$16"}</definedName>
    <definedName name="KTLDLAN3" localSheetId="3" hidden="1">{"'Sheet1'!$L$16"}</definedName>
    <definedName name="KTLDLAN3" localSheetId="5" hidden="1">{"'Sheet1'!$L$16"}</definedName>
    <definedName name="KTLDLAN3" localSheetId="7" hidden="1">{"'Sheet1'!$L$16"}</definedName>
    <definedName name="KTLDLAN3" localSheetId="9" hidden="1">{"'Sheet1'!$L$16"}</definedName>
    <definedName name="KTLDLAN3" localSheetId="11" hidden="1">{"'Sheet1'!$L$16"}</definedName>
    <definedName name="KTLDLAN3" localSheetId="13" hidden="1">{"'Sheet1'!$L$16"}</definedName>
    <definedName name="KTLDLAN3" localSheetId="17" hidden="1">{"'Sheet1'!$L$16"}</definedName>
    <definedName name="KTLDLAN3" localSheetId="2" hidden="1">{"'Sheet1'!$L$16"}</definedName>
    <definedName name="KTLDLAN3" localSheetId="20" hidden="1">{"'Sheet1'!$L$16"}</definedName>
    <definedName name="KTLDLAN3" localSheetId="22" hidden="1">{"'Sheet1'!$L$16"}</definedName>
    <definedName name="KTLDLAN3" localSheetId="24" hidden="1">{"'Sheet1'!$L$16"}</definedName>
    <definedName name="KTLDLAN3" localSheetId="4" hidden="1">{"'Sheet1'!$L$16"}</definedName>
    <definedName name="KTLDLAN3" localSheetId="6" hidden="1">{"'Sheet1'!$L$16"}</definedName>
    <definedName name="KTLDLAN3" localSheetId="8" hidden="1">{"'Sheet1'!$L$16"}</definedName>
    <definedName name="KTLDLAN3" localSheetId="10" hidden="1">{"'Sheet1'!$L$16"}</definedName>
    <definedName name="KTLDLAN3" localSheetId="12" hidden="1">{"'Sheet1'!$L$16"}</definedName>
    <definedName name="KTLDLAN3" localSheetId="14" hidden="1">{"'Sheet1'!$L$16"}</definedName>
    <definedName name="KTLDLAN3" localSheetId="16" hidden="1">{"'Sheet1'!$L$16"}</definedName>
    <definedName name="KTLDLAN3" localSheetId="18" hidden="1">{"'Sheet1'!$L$16"}</definedName>
    <definedName name="KTLDLAN3" localSheetId="0" hidden="1">{"'Sheet1'!$L$16"}</definedName>
    <definedName name="KTLDLAN3" hidden="1">{"'Sheet1'!$L$16"}</definedName>
    <definedName name="_xlnm.Print_Area" localSheetId="15">'CC - 8'!$A$1:$AS$39</definedName>
    <definedName name="_xlnm.Print_Area" localSheetId="1">'CC -1'!$A$1:$AS$41</definedName>
    <definedName name="_xlnm.Print_Area" localSheetId="19">'CC -10'!$A$1:$AS$39</definedName>
    <definedName name="_xlnm.Print_Area" localSheetId="21">'CC -11'!$A$1:$AS$39</definedName>
    <definedName name="_xlnm.Print_Area" localSheetId="23">'CC -12'!$A$1:$AS$39</definedName>
    <definedName name="_xlnm.Print_Area" localSheetId="3">'CC -2'!$A$1:$AQ$41</definedName>
    <definedName name="_xlnm.Print_Area" localSheetId="5">'CC -3'!$A$1:$AS$41</definedName>
    <definedName name="_xlnm.Print_Area" localSheetId="7">'CC -4'!$A$1:$AR$41</definedName>
    <definedName name="_xlnm.Print_Area" localSheetId="9">'CC -5'!$A$1:$AS$39</definedName>
    <definedName name="_xlnm.Print_Area" localSheetId="11">'CC -6'!$A$1:$AS$39</definedName>
    <definedName name="_xlnm.Print_Area" localSheetId="13">'CC -7'!$A$1:$AS$39</definedName>
    <definedName name="_xlnm.Print_Area" localSheetId="17">'CC -9'!$A$1:$AS$39</definedName>
    <definedName name="ưer" localSheetId="15" hidden="1">{"'Sheet1'!$L$16"}</definedName>
    <definedName name="ưer" localSheetId="1" hidden="1">{"'Sheet1'!$L$16"}</definedName>
    <definedName name="ưer" localSheetId="19" hidden="1">{"'Sheet1'!$L$16"}</definedName>
    <definedName name="ưer" localSheetId="21" hidden="1">{"'Sheet1'!$L$16"}</definedName>
    <definedName name="ưer" localSheetId="23" hidden="1">{"'Sheet1'!$L$16"}</definedName>
    <definedName name="ưer" localSheetId="3" hidden="1">{"'Sheet1'!$L$16"}</definedName>
    <definedName name="ưer" localSheetId="5" hidden="1">{"'Sheet1'!$L$16"}</definedName>
    <definedName name="ưer" localSheetId="7" hidden="1">{"'Sheet1'!$L$16"}</definedName>
    <definedName name="ưer" localSheetId="9" hidden="1">{"'Sheet1'!$L$16"}</definedName>
    <definedName name="ưer" localSheetId="11" hidden="1">{"'Sheet1'!$L$16"}</definedName>
    <definedName name="ưer" localSheetId="13" hidden="1">{"'Sheet1'!$L$16"}</definedName>
    <definedName name="ưer" localSheetId="17" hidden="1">{"'Sheet1'!$L$16"}</definedName>
    <definedName name="ưer" localSheetId="2" hidden="1">{"'Sheet1'!$L$16"}</definedName>
    <definedName name="ưer" localSheetId="20" hidden="1">{"'Sheet1'!$L$16"}</definedName>
    <definedName name="ưer" localSheetId="22" hidden="1">{"'Sheet1'!$L$16"}</definedName>
    <definedName name="ưer" localSheetId="24" hidden="1">{"'Sheet1'!$L$16"}</definedName>
    <definedName name="ưer" localSheetId="4" hidden="1">{"'Sheet1'!$L$16"}</definedName>
    <definedName name="ưer" localSheetId="6" hidden="1">{"'Sheet1'!$L$16"}</definedName>
    <definedName name="ưer" localSheetId="8" hidden="1">{"'Sheet1'!$L$16"}</definedName>
    <definedName name="ưer" localSheetId="10" hidden="1">{"'Sheet1'!$L$16"}</definedName>
    <definedName name="ưer" localSheetId="12" hidden="1">{"'Sheet1'!$L$16"}</definedName>
    <definedName name="ưer" localSheetId="14" hidden="1">{"'Sheet1'!$L$16"}</definedName>
    <definedName name="ưer" localSheetId="16" hidden="1">{"'Sheet1'!$L$16"}</definedName>
    <definedName name="ưer" localSheetId="18" hidden="1">{"'Sheet1'!$L$16"}</definedName>
    <definedName name="ưer" localSheetId="0" hidden="1">{"'Sheet1'!$L$16"}</definedName>
    <definedName name="ưer" hidden="1">{"'Sheet1'!$L$16"}</definedName>
    <definedName name="UU" localSheetId="15" hidden="1">{"'Sheet1'!$L$16"}</definedName>
    <definedName name="UU" localSheetId="1" hidden="1">{"'Sheet1'!$L$16"}</definedName>
    <definedName name="UU" localSheetId="19" hidden="1">{"'Sheet1'!$L$16"}</definedName>
    <definedName name="UU" localSheetId="21" hidden="1">{"'Sheet1'!$L$16"}</definedName>
    <definedName name="UU" localSheetId="23" hidden="1">{"'Sheet1'!$L$16"}</definedName>
    <definedName name="UU" localSheetId="3" hidden="1">{"'Sheet1'!$L$16"}</definedName>
    <definedName name="UU" localSheetId="5" hidden="1">{"'Sheet1'!$L$16"}</definedName>
    <definedName name="UU" localSheetId="7" hidden="1">{"'Sheet1'!$L$16"}</definedName>
    <definedName name="UU" localSheetId="9" hidden="1">{"'Sheet1'!$L$16"}</definedName>
    <definedName name="UU" localSheetId="11" hidden="1">{"'Sheet1'!$L$16"}</definedName>
    <definedName name="UU" localSheetId="13" hidden="1">{"'Sheet1'!$L$16"}</definedName>
    <definedName name="UU" localSheetId="17" hidden="1">{"'Sheet1'!$L$16"}</definedName>
    <definedName name="UU" localSheetId="2" hidden="1">{"'Sheet1'!$L$16"}</definedName>
    <definedName name="UU" localSheetId="20" hidden="1">{"'Sheet1'!$L$16"}</definedName>
    <definedName name="UU" localSheetId="22" hidden="1">{"'Sheet1'!$L$16"}</definedName>
    <definedName name="UU" localSheetId="24" hidden="1">{"'Sheet1'!$L$16"}</definedName>
    <definedName name="UU" localSheetId="4" hidden="1">{"'Sheet1'!$L$16"}</definedName>
    <definedName name="UU" localSheetId="6" hidden="1">{"'Sheet1'!$L$16"}</definedName>
    <definedName name="UU" localSheetId="8" hidden="1">{"'Sheet1'!$L$16"}</definedName>
    <definedName name="UU" localSheetId="10" hidden="1">{"'Sheet1'!$L$16"}</definedName>
    <definedName name="UU" localSheetId="12" hidden="1">{"'Sheet1'!$L$16"}</definedName>
    <definedName name="UU" localSheetId="14" hidden="1">{"'Sheet1'!$L$16"}</definedName>
    <definedName name="UU" localSheetId="16" hidden="1">{"'Sheet1'!$L$16"}</definedName>
    <definedName name="UU" localSheetId="18" hidden="1">{"'Sheet1'!$L$16"}</definedName>
    <definedName name="UU" localSheetId="0" hidden="1">{"'Sheet1'!$L$16"}</definedName>
    <definedName name="UU" hidden="1">{"'Sheet1'!$L$16"}</definedName>
    <definedName name="wrn.chi._.tiÆt." localSheetId="15" hidden="1">{#N/A,#N/A,FALSE,"Chi tiÆt"}</definedName>
    <definedName name="wrn.chi._.tiÆt." localSheetId="1" hidden="1">{#N/A,#N/A,FALSE,"Chi tiÆt"}</definedName>
    <definedName name="wrn.chi._.tiÆt." localSheetId="19" hidden="1">{#N/A,#N/A,FALSE,"Chi tiÆt"}</definedName>
    <definedName name="wrn.chi._.tiÆt." localSheetId="21" hidden="1">{#N/A,#N/A,FALSE,"Chi tiÆt"}</definedName>
    <definedName name="wrn.chi._.tiÆt." localSheetId="23" hidden="1">{#N/A,#N/A,FALSE,"Chi tiÆt"}</definedName>
    <definedName name="wrn.chi._.tiÆt." localSheetId="3" hidden="1">{#N/A,#N/A,FALSE,"Chi tiÆt"}</definedName>
    <definedName name="wrn.chi._.tiÆt." localSheetId="5" hidden="1">{#N/A,#N/A,FALSE,"Chi tiÆt"}</definedName>
    <definedName name="wrn.chi._.tiÆt." localSheetId="7" hidden="1">{#N/A,#N/A,FALSE,"Chi tiÆt"}</definedName>
    <definedName name="wrn.chi._.tiÆt." localSheetId="9" hidden="1">{#N/A,#N/A,FALSE,"Chi tiÆt"}</definedName>
    <definedName name="wrn.chi._.tiÆt." localSheetId="11" hidden="1">{#N/A,#N/A,FALSE,"Chi tiÆt"}</definedName>
    <definedName name="wrn.chi._.tiÆt." localSheetId="13" hidden="1">{#N/A,#N/A,FALSE,"Chi tiÆt"}</definedName>
    <definedName name="wrn.chi._.tiÆt." localSheetId="17" hidden="1">{#N/A,#N/A,FALSE,"Chi tiÆt"}</definedName>
    <definedName name="wrn.chi._.tiÆt." localSheetId="2" hidden="1">{#N/A,#N/A,FALSE,"Chi tiÆt"}</definedName>
    <definedName name="wrn.chi._.tiÆt." localSheetId="20" hidden="1">{#N/A,#N/A,FALSE,"Chi tiÆt"}</definedName>
    <definedName name="wrn.chi._.tiÆt." localSheetId="22" hidden="1">{#N/A,#N/A,FALSE,"Chi tiÆt"}</definedName>
    <definedName name="wrn.chi._.tiÆt." localSheetId="24" hidden="1">{#N/A,#N/A,FALSE,"Chi tiÆt"}</definedName>
    <definedName name="wrn.chi._.tiÆt." localSheetId="4" hidden="1">{#N/A,#N/A,FALSE,"Chi tiÆt"}</definedName>
    <definedName name="wrn.chi._.tiÆt." localSheetId="6" hidden="1">{#N/A,#N/A,FALSE,"Chi tiÆt"}</definedName>
    <definedName name="wrn.chi._.tiÆt." localSheetId="8" hidden="1">{#N/A,#N/A,FALSE,"Chi tiÆt"}</definedName>
    <definedName name="wrn.chi._.tiÆt." localSheetId="10" hidden="1">{#N/A,#N/A,FALSE,"Chi tiÆt"}</definedName>
    <definedName name="wrn.chi._.tiÆt." localSheetId="12" hidden="1">{#N/A,#N/A,FALSE,"Chi tiÆt"}</definedName>
    <definedName name="wrn.chi._.tiÆt." localSheetId="14" hidden="1">{#N/A,#N/A,FALSE,"Chi tiÆt"}</definedName>
    <definedName name="wrn.chi._.tiÆt." localSheetId="16" hidden="1">{#N/A,#N/A,FALSE,"Chi tiÆt"}</definedName>
    <definedName name="wrn.chi._.tiÆt." localSheetId="18" hidden="1">{#N/A,#N/A,FALSE,"Chi tiÆt"}</definedName>
    <definedName name="wrn.chi._.tiÆt." localSheetId="0" hidden="1">{#N/A,#N/A,FALSE,"Chi tiÆt"}</definedName>
    <definedName name="wrn.chi._.tiÆt." hidden="1">{#N/A,#N/A,FALSE,"Chi tiÆt"}</definedName>
  </definedNames>
  <calcPr calcId="162913"/>
</workbook>
</file>

<file path=xl/calcChain.xml><?xml version="1.0" encoding="utf-8"?>
<calcChain xmlns="http://schemas.openxmlformats.org/spreadsheetml/2006/main">
  <c r="AL11" i="53" l="1"/>
  <c r="AK11" i="53"/>
  <c r="AJ11" i="53"/>
  <c r="AM11" i="53" s="1"/>
  <c r="D11" i="53"/>
  <c r="C11" i="53"/>
  <c r="C11" i="54"/>
  <c r="D11" i="54"/>
  <c r="E11" i="54"/>
  <c r="F11" i="54"/>
  <c r="L11" i="54" s="1"/>
  <c r="H11" i="54"/>
  <c r="N11" i="54"/>
  <c r="O11" i="54"/>
  <c r="P11" i="54"/>
  <c r="R11" i="54"/>
  <c r="C11" i="52"/>
  <c r="D11" i="52"/>
  <c r="E11" i="52"/>
  <c r="F11" i="52"/>
  <c r="L11" i="52" s="1"/>
  <c r="H11" i="52"/>
  <c r="N11" i="52"/>
  <c r="O11" i="52"/>
  <c r="P11" i="52"/>
  <c r="R11" i="52"/>
  <c r="AM11" i="51"/>
  <c r="AL11" i="51"/>
  <c r="AK11" i="51"/>
  <c r="AN11" i="51" s="1"/>
  <c r="D11" i="51"/>
  <c r="C11" i="51"/>
  <c r="C11" i="50"/>
  <c r="D11" i="50"/>
  <c r="E11" i="50"/>
  <c r="F11" i="50"/>
  <c r="L11" i="50" s="1"/>
  <c r="H11" i="50"/>
  <c r="N11" i="50"/>
  <c r="O11" i="50"/>
  <c r="P11" i="50"/>
  <c r="R11" i="50"/>
  <c r="AK11" i="49"/>
  <c r="AJ11" i="49"/>
  <c r="AI11" i="49"/>
  <c r="AL11" i="49" s="1"/>
  <c r="D11" i="49"/>
  <c r="C11" i="49"/>
  <c r="AM11" i="47"/>
  <c r="AL11" i="47"/>
  <c r="AK11" i="47"/>
  <c r="AN11" i="47" s="1"/>
  <c r="D11" i="47"/>
  <c r="C11" i="47"/>
  <c r="C11" i="48"/>
  <c r="D11" i="48"/>
  <c r="E11" i="48"/>
  <c r="F11" i="48"/>
  <c r="L11" i="48" s="1"/>
  <c r="H11" i="48"/>
  <c r="N11" i="48"/>
  <c r="O11" i="48"/>
  <c r="P11" i="48"/>
  <c r="R11" i="48"/>
  <c r="A15" i="15"/>
  <c r="A16" i="15"/>
  <c r="A11" i="15"/>
  <c r="A12" i="15"/>
  <c r="A13" i="15"/>
  <c r="A14" i="15"/>
  <c r="J11" i="54" l="1"/>
  <c r="J11" i="52"/>
  <c r="J11" i="50"/>
  <c r="J11" i="48"/>
  <c r="F18" i="15"/>
  <c r="E18" i="15"/>
  <c r="AG11" i="15"/>
  <c r="AE11" i="15"/>
  <c r="AC11" i="15"/>
  <c r="AA11" i="15"/>
  <c r="Y11" i="15"/>
  <c r="W11" i="15"/>
  <c r="U11" i="15"/>
  <c r="S11" i="15"/>
  <c r="AG16" i="15"/>
  <c r="AE16" i="15"/>
  <c r="AC16" i="15"/>
  <c r="AA16" i="15"/>
  <c r="Y16" i="15"/>
  <c r="W16" i="15"/>
  <c r="U16" i="15"/>
  <c r="S16" i="15"/>
  <c r="Q16" i="15"/>
  <c r="O16" i="15"/>
  <c r="M16" i="15"/>
  <c r="K16" i="15"/>
  <c r="AH16" i="15" l="1"/>
  <c r="AK14" i="45" l="1"/>
  <c r="AL14" i="45"/>
  <c r="AM14" i="45"/>
  <c r="AK16" i="45"/>
  <c r="AL16" i="45"/>
  <c r="AM16" i="45"/>
  <c r="A10" i="15" l="1"/>
  <c r="S15" i="15"/>
  <c r="S17" i="15"/>
  <c r="Q15" i="15"/>
  <c r="Q17" i="15"/>
  <c r="O15" i="15"/>
  <c r="O17" i="15"/>
  <c r="M17" i="15"/>
  <c r="K15" i="15"/>
  <c r="K17" i="15"/>
  <c r="M15" i="15"/>
  <c r="U15" i="15"/>
  <c r="U17" i="15"/>
  <c r="W15" i="15"/>
  <c r="W17" i="15"/>
  <c r="AA15" i="15"/>
  <c r="AA17" i="15"/>
  <c r="Y15" i="15"/>
  <c r="Y17" i="15"/>
  <c r="AC15" i="15"/>
  <c r="AC17" i="15"/>
  <c r="AE15" i="15"/>
  <c r="AE17" i="15"/>
  <c r="AG15" i="15"/>
  <c r="AG17" i="15"/>
  <c r="N17" i="48"/>
  <c r="O17" i="48"/>
  <c r="P17" i="48"/>
  <c r="P16" i="48"/>
  <c r="O16" i="48"/>
  <c r="N16" i="48"/>
  <c r="P15" i="48"/>
  <c r="O15" i="48"/>
  <c r="N15" i="48"/>
  <c r="O10" i="48"/>
  <c r="P10" i="48"/>
  <c r="N10" i="48"/>
  <c r="N17" i="50"/>
  <c r="O17" i="50"/>
  <c r="P17" i="50"/>
  <c r="P16" i="50"/>
  <c r="O16" i="50"/>
  <c r="N16" i="50"/>
  <c r="P15" i="50"/>
  <c r="O15" i="50"/>
  <c r="N15" i="50"/>
  <c r="O10" i="50"/>
  <c r="P10" i="50"/>
  <c r="N10" i="50"/>
  <c r="N17" i="52"/>
  <c r="O17" i="52"/>
  <c r="P17" i="52"/>
  <c r="P16" i="52"/>
  <c r="O16" i="52"/>
  <c r="N16" i="52"/>
  <c r="P15" i="52"/>
  <c r="O15" i="52"/>
  <c r="N15" i="52"/>
  <c r="O10" i="52"/>
  <c r="P10" i="52"/>
  <c r="N10" i="52"/>
  <c r="N16" i="54"/>
  <c r="O16" i="54"/>
  <c r="P16" i="54"/>
  <c r="N17" i="54"/>
  <c r="O17" i="54"/>
  <c r="P17" i="54"/>
  <c r="P15" i="54"/>
  <c r="O15" i="54"/>
  <c r="N15" i="54"/>
  <c r="O10" i="54"/>
  <c r="P10" i="54"/>
  <c r="N10" i="54"/>
  <c r="N15" i="16"/>
  <c r="O15" i="16"/>
  <c r="P15" i="16"/>
  <c r="N16" i="16"/>
  <c r="O16" i="16"/>
  <c r="P16" i="16"/>
  <c r="P14" i="16"/>
  <c r="O14" i="16"/>
  <c r="N14" i="16"/>
  <c r="O10" i="16"/>
  <c r="P10" i="16"/>
  <c r="N10" i="16"/>
  <c r="N15" i="34"/>
  <c r="O15" i="34"/>
  <c r="P15" i="34"/>
  <c r="N16" i="34"/>
  <c r="O16" i="34"/>
  <c r="P16" i="34"/>
  <c r="P14" i="34"/>
  <c r="O14" i="34"/>
  <c r="N14" i="34"/>
  <c r="O10" i="34"/>
  <c r="P10" i="34"/>
  <c r="N10" i="34"/>
  <c r="N15" i="36"/>
  <c r="O15" i="36"/>
  <c r="P15" i="36"/>
  <c r="N16" i="36"/>
  <c r="O16" i="36"/>
  <c r="P16" i="36"/>
  <c r="P14" i="36"/>
  <c r="O14" i="36"/>
  <c r="N14" i="36"/>
  <c r="O10" i="36"/>
  <c r="P10" i="36"/>
  <c r="N10" i="36"/>
  <c r="N15" i="38"/>
  <c r="O15" i="38"/>
  <c r="P15" i="38"/>
  <c r="N16" i="38"/>
  <c r="O16" i="38"/>
  <c r="P16" i="38"/>
  <c r="P14" i="38"/>
  <c r="O14" i="38"/>
  <c r="N14" i="38"/>
  <c r="O10" i="38"/>
  <c r="P10" i="38"/>
  <c r="N10" i="38"/>
  <c r="N15" i="40"/>
  <c r="O15" i="40"/>
  <c r="P15" i="40"/>
  <c r="N16" i="40"/>
  <c r="O16" i="40"/>
  <c r="P16" i="40"/>
  <c r="P14" i="40"/>
  <c r="O14" i="40"/>
  <c r="N14" i="40"/>
  <c r="O10" i="40"/>
  <c r="P10" i="40"/>
  <c r="N10" i="40"/>
  <c r="N15" i="42"/>
  <c r="O15" i="42"/>
  <c r="P15" i="42"/>
  <c r="N16" i="42"/>
  <c r="O16" i="42"/>
  <c r="P16" i="42"/>
  <c r="P14" i="42"/>
  <c r="O14" i="42"/>
  <c r="N14" i="42"/>
  <c r="O10" i="42"/>
  <c r="P10" i="42"/>
  <c r="N10" i="42"/>
  <c r="N15" i="44"/>
  <c r="O15" i="44"/>
  <c r="P15" i="44"/>
  <c r="N16" i="44"/>
  <c r="O16" i="44"/>
  <c r="P16" i="44"/>
  <c r="P14" i="44"/>
  <c r="O14" i="44"/>
  <c r="N14" i="44"/>
  <c r="O10" i="44"/>
  <c r="P10" i="44"/>
  <c r="N10" i="44"/>
  <c r="N15" i="46"/>
  <c r="O15" i="46"/>
  <c r="P15" i="46"/>
  <c r="N16" i="46"/>
  <c r="O16" i="46"/>
  <c r="P16" i="46"/>
  <c r="P14" i="46"/>
  <c r="O14" i="46"/>
  <c r="N14" i="46"/>
  <c r="O10" i="46"/>
  <c r="P10" i="46"/>
  <c r="N10" i="46"/>
  <c r="AF19" i="15" a="1"/>
  <c r="AF19" i="15" s="1"/>
  <c r="AD19" i="15" a="1"/>
  <c r="AD19" i="15" s="1"/>
  <c r="AB19" i="15" a="1"/>
  <c r="AB19" i="15" s="1"/>
  <c r="Z19" i="15" a="1"/>
  <c r="Z19" i="15" s="1"/>
  <c r="X19" i="15" a="1"/>
  <c r="X19" i="15" s="1"/>
  <c r="V19" i="15" a="1"/>
  <c r="V19" i="15" s="1"/>
  <c r="T19" i="15" a="1"/>
  <c r="T19" i="15" s="1"/>
  <c r="R19" i="15" a="1"/>
  <c r="R19" i="15" s="1"/>
  <c r="P19" i="15" a="1"/>
  <c r="P19" i="15" s="1"/>
  <c r="N19" i="15" a="1"/>
  <c r="N19" i="15" s="1"/>
  <c r="L19" i="15" a="1"/>
  <c r="L19" i="15" s="1"/>
  <c r="K18" i="15"/>
  <c r="AG18" i="15"/>
  <c r="M18" i="15"/>
  <c r="O18" i="15"/>
  <c r="Q18" i="15"/>
  <c r="S18" i="15"/>
  <c r="U18" i="15"/>
  <c r="W18" i="15"/>
  <c r="Y18" i="15"/>
  <c r="AA18" i="15"/>
  <c r="AC18" i="15"/>
  <c r="AE18" i="15"/>
  <c r="AH18" i="15" l="1"/>
  <c r="AH17" i="15"/>
  <c r="AH15" i="15"/>
  <c r="R15" i="46" l="1"/>
  <c r="E15" i="46"/>
  <c r="D15" i="46"/>
  <c r="C15" i="46"/>
  <c r="R16" i="46"/>
  <c r="E16" i="46"/>
  <c r="D16" i="46"/>
  <c r="C16" i="46"/>
  <c r="D14" i="45"/>
  <c r="C14" i="45"/>
  <c r="D16" i="45"/>
  <c r="C16" i="45"/>
  <c r="R15" i="44"/>
  <c r="E15" i="44"/>
  <c r="D15" i="44"/>
  <c r="C15" i="44"/>
  <c r="R16" i="44"/>
  <c r="E16" i="44"/>
  <c r="D16" i="44"/>
  <c r="C16" i="44"/>
  <c r="AL14" i="43"/>
  <c r="D14" i="43"/>
  <c r="C14" i="43"/>
  <c r="AL16" i="43"/>
  <c r="D16" i="43"/>
  <c r="C16" i="43"/>
  <c r="R15" i="42"/>
  <c r="E15" i="42"/>
  <c r="D15" i="42"/>
  <c r="C15" i="42"/>
  <c r="R16" i="42"/>
  <c r="E16" i="42"/>
  <c r="D16" i="42"/>
  <c r="C16" i="42"/>
  <c r="AL14" i="41"/>
  <c r="D14" i="41"/>
  <c r="C14" i="41"/>
  <c r="AL16" i="41"/>
  <c r="D16" i="41"/>
  <c r="C16" i="41"/>
  <c r="R15" i="40"/>
  <c r="E15" i="40"/>
  <c r="D15" i="40"/>
  <c r="C15" i="40"/>
  <c r="R16" i="40"/>
  <c r="E16" i="40"/>
  <c r="D16" i="40"/>
  <c r="C16" i="40"/>
  <c r="AL14" i="39"/>
  <c r="D14" i="39"/>
  <c r="C14" i="39"/>
  <c r="AL16" i="39"/>
  <c r="D16" i="39"/>
  <c r="C16" i="39"/>
  <c r="R15" i="38"/>
  <c r="E15" i="38"/>
  <c r="D15" i="38"/>
  <c r="C15" i="38"/>
  <c r="R16" i="38"/>
  <c r="E16" i="38"/>
  <c r="D16" i="38"/>
  <c r="C16" i="38"/>
  <c r="AL14" i="37"/>
  <c r="D14" i="37"/>
  <c r="C14" i="37"/>
  <c r="AL16" i="37"/>
  <c r="D16" i="37"/>
  <c r="C16" i="37"/>
  <c r="R15" i="36"/>
  <c r="E15" i="36"/>
  <c r="D15" i="36"/>
  <c r="C15" i="36"/>
  <c r="R16" i="36"/>
  <c r="E16" i="36"/>
  <c r="D16" i="36"/>
  <c r="C16" i="36"/>
  <c r="AL14" i="35"/>
  <c r="D14" i="35"/>
  <c r="C14" i="35"/>
  <c r="AL16" i="35"/>
  <c r="D16" i="35"/>
  <c r="C16" i="35"/>
  <c r="R15" i="34"/>
  <c r="E15" i="34"/>
  <c r="D15" i="34"/>
  <c r="C15" i="34"/>
  <c r="R16" i="34"/>
  <c r="E16" i="34"/>
  <c r="D16" i="34"/>
  <c r="C16" i="34"/>
  <c r="AL14" i="33"/>
  <c r="D14" i="33"/>
  <c r="C14" i="33"/>
  <c r="AL16" i="33"/>
  <c r="D16" i="33"/>
  <c r="C16" i="33"/>
  <c r="R15" i="16"/>
  <c r="E15" i="16"/>
  <c r="D15" i="16"/>
  <c r="C15" i="16"/>
  <c r="R16" i="16"/>
  <c r="E16" i="16"/>
  <c r="D16" i="16"/>
  <c r="C16" i="16"/>
  <c r="AL14" i="14"/>
  <c r="D14" i="14"/>
  <c r="C14" i="14"/>
  <c r="AL16" i="14"/>
  <c r="D16" i="14"/>
  <c r="C16" i="14"/>
  <c r="C16" i="54" l="1"/>
  <c r="D16" i="54"/>
  <c r="E16" i="54"/>
  <c r="R16" i="54"/>
  <c r="C17" i="54"/>
  <c r="D17" i="54"/>
  <c r="E17" i="54"/>
  <c r="R17" i="54"/>
  <c r="AK16" i="53"/>
  <c r="D16" i="53"/>
  <c r="C16" i="53"/>
  <c r="AK18" i="53"/>
  <c r="D18" i="53"/>
  <c r="C18" i="53"/>
  <c r="C16" i="52"/>
  <c r="D16" i="52"/>
  <c r="E16" i="52"/>
  <c r="R16" i="52"/>
  <c r="C17" i="52"/>
  <c r="D17" i="52"/>
  <c r="E17" i="52"/>
  <c r="R17" i="52"/>
  <c r="AL16" i="51"/>
  <c r="D16" i="51"/>
  <c r="C16" i="51"/>
  <c r="AL18" i="51"/>
  <c r="D18" i="51"/>
  <c r="C18" i="51"/>
  <c r="C16" i="50"/>
  <c r="D16" i="50"/>
  <c r="E16" i="50"/>
  <c r="R16" i="50"/>
  <c r="C17" i="50"/>
  <c r="D17" i="50"/>
  <c r="E17" i="50"/>
  <c r="R17" i="50"/>
  <c r="AJ16" i="49"/>
  <c r="D16" i="49"/>
  <c r="C16" i="49"/>
  <c r="AJ18" i="49"/>
  <c r="D18" i="49"/>
  <c r="C18" i="49"/>
  <c r="R17" i="48"/>
  <c r="E17" i="48"/>
  <c r="D17" i="48"/>
  <c r="C17" i="48"/>
  <c r="R16" i="48"/>
  <c r="E16" i="48"/>
  <c r="D16" i="48"/>
  <c r="C16" i="48"/>
  <c r="R15" i="48"/>
  <c r="E15" i="48"/>
  <c r="D15" i="48"/>
  <c r="C15" i="48"/>
  <c r="AL16" i="47"/>
  <c r="D16" i="47"/>
  <c r="C16" i="47"/>
  <c r="AL18" i="47"/>
  <c r="D18" i="47"/>
  <c r="C18" i="47"/>
  <c r="AL12" i="45" l="1"/>
  <c r="D12" i="45"/>
  <c r="C12" i="45"/>
  <c r="AL12" i="43"/>
  <c r="D12" i="43"/>
  <c r="C12" i="43"/>
  <c r="AL12" i="41"/>
  <c r="D12" i="41"/>
  <c r="C12" i="41"/>
  <c r="AL12" i="39"/>
  <c r="D12" i="39"/>
  <c r="C12" i="39"/>
  <c r="AL12" i="37"/>
  <c r="D12" i="37"/>
  <c r="C12" i="37"/>
  <c r="AL12" i="35"/>
  <c r="D12" i="35"/>
  <c r="C12" i="35"/>
  <c r="AL12" i="33"/>
  <c r="D12" i="33"/>
  <c r="C12" i="33"/>
  <c r="AL12" i="14"/>
  <c r="D12" i="14"/>
  <c r="C12" i="14"/>
  <c r="AK14" i="53"/>
  <c r="D14" i="53"/>
  <c r="C14" i="53"/>
  <c r="AL14" i="51"/>
  <c r="D14" i="51"/>
  <c r="C14" i="51"/>
  <c r="R15" i="54"/>
  <c r="O19" i="54"/>
  <c r="E15" i="54"/>
  <c r="D15" i="54"/>
  <c r="C15" i="54"/>
  <c r="R10" i="54"/>
  <c r="E10" i="54"/>
  <c r="D10" i="54"/>
  <c r="C10" i="54"/>
  <c r="E4" i="54"/>
  <c r="S21" i="54" s="1"/>
  <c r="AK9" i="53"/>
  <c r="D9" i="53"/>
  <c r="C9" i="53"/>
  <c r="F5" i="53"/>
  <c r="F6" i="53" s="1"/>
  <c r="S1" i="53"/>
  <c r="R15" i="52"/>
  <c r="R19" i="52" s="1"/>
  <c r="P19" i="52"/>
  <c r="E15" i="52"/>
  <c r="E19" i="52" s="1"/>
  <c r="D15" i="52"/>
  <c r="C15" i="52"/>
  <c r="R10" i="52"/>
  <c r="E10" i="52"/>
  <c r="D10" i="52"/>
  <c r="C10" i="52"/>
  <c r="E4" i="52"/>
  <c r="S21" i="52" s="1"/>
  <c r="AL9" i="51"/>
  <c r="D9" i="51"/>
  <c r="C9" i="51"/>
  <c r="F5" i="51"/>
  <c r="F6" i="51" s="1"/>
  <c r="S1" i="51"/>
  <c r="R15" i="50"/>
  <c r="E15" i="50"/>
  <c r="D15" i="50"/>
  <c r="C15" i="50"/>
  <c r="R10" i="50"/>
  <c r="E10" i="50"/>
  <c r="D10" i="50"/>
  <c r="C10" i="50"/>
  <c r="E4" i="50"/>
  <c r="S21" i="50" s="1"/>
  <c r="AJ14" i="49"/>
  <c r="D14" i="49"/>
  <c r="C14" i="49"/>
  <c r="AJ9" i="49"/>
  <c r="D9" i="49"/>
  <c r="C9" i="49"/>
  <c r="F5" i="49"/>
  <c r="F6" i="49" s="1"/>
  <c r="S1" i="49"/>
  <c r="R10" i="48"/>
  <c r="R13" i="48" s="1"/>
  <c r="P13" i="48"/>
  <c r="O13" i="48"/>
  <c r="E10" i="48"/>
  <c r="E13" i="48" s="1"/>
  <c r="D10" i="48"/>
  <c r="C10" i="48"/>
  <c r="E4" i="48"/>
  <c r="S21" i="48" s="1"/>
  <c r="AL14" i="47"/>
  <c r="D14" i="47"/>
  <c r="C14" i="47"/>
  <c r="AL9" i="47"/>
  <c r="D9" i="47"/>
  <c r="C9" i="47"/>
  <c r="F5" i="47"/>
  <c r="F6" i="47" s="1"/>
  <c r="S1" i="47"/>
  <c r="N13" i="48" l="1"/>
  <c r="E19" i="48"/>
  <c r="E19" i="50"/>
  <c r="R19" i="50"/>
  <c r="E19" i="54"/>
  <c r="R19" i="54"/>
  <c r="N19" i="54"/>
  <c r="D1" i="50"/>
  <c r="R13" i="52"/>
  <c r="N13" i="50"/>
  <c r="P13" i="54"/>
  <c r="N13" i="52"/>
  <c r="O13" i="54"/>
  <c r="N13" i="54"/>
  <c r="R13" i="54"/>
  <c r="P19" i="54"/>
  <c r="D1" i="52"/>
  <c r="D1" i="48"/>
  <c r="D1" i="54"/>
  <c r="O13" i="52"/>
  <c r="N19" i="52"/>
  <c r="G5" i="53"/>
  <c r="E13" i="54"/>
  <c r="R19" i="48"/>
  <c r="R13" i="50"/>
  <c r="P19" i="50"/>
  <c r="P13" i="52"/>
  <c r="O19" i="52"/>
  <c r="O13" i="50"/>
  <c r="N19" i="50"/>
  <c r="G5" i="51"/>
  <c r="E13" i="52"/>
  <c r="P19" i="48"/>
  <c r="P13" i="50"/>
  <c r="O19" i="50"/>
  <c r="N19" i="48"/>
  <c r="G5" i="49"/>
  <c r="E13" i="50"/>
  <c r="O19" i="48"/>
  <c r="G5" i="47"/>
  <c r="G6" i="53" l="1"/>
  <c r="H5" i="53"/>
  <c r="G6" i="51"/>
  <c r="H5" i="51"/>
  <c r="G6" i="49"/>
  <c r="H5" i="49"/>
  <c r="H5" i="47"/>
  <c r="G6" i="47"/>
  <c r="I5" i="53" l="1"/>
  <c r="H6" i="53"/>
  <c r="I5" i="51"/>
  <c r="H6" i="51"/>
  <c r="I5" i="49"/>
  <c r="H6" i="49"/>
  <c r="I5" i="47"/>
  <c r="H6" i="47"/>
  <c r="R14" i="46"/>
  <c r="E14" i="46"/>
  <c r="D14" i="46"/>
  <c r="C14" i="46"/>
  <c r="R10" i="46"/>
  <c r="E10" i="46"/>
  <c r="D10" i="46"/>
  <c r="C10" i="46"/>
  <c r="E4" i="46"/>
  <c r="S20" i="46" s="1"/>
  <c r="AL9" i="45"/>
  <c r="D9" i="45"/>
  <c r="C9" i="45"/>
  <c r="F5" i="45"/>
  <c r="G5" i="45" s="1"/>
  <c r="S1" i="45"/>
  <c r="R14" i="44"/>
  <c r="E14" i="44"/>
  <c r="D14" i="44"/>
  <c r="C14" i="44"/>
  <c r="R10" i="44"/>
  <c r="E10" i="44"/>
  <c r="D10" i="44"/>
  <c r="C10" i="44"/>
  <c r="E4" i="44"/>
  <c r="S20" i="44" s="1"/>
  <c r="AL9" i="43"/>
  <c r="D9" i="43"/>
  <c r="C9" i="43"/>
  <c r="F5" i="43"/>
  <c r="G5" i="43" s="1"/>
  <c r="S1" i="43"/>
  <c r="R14" i="42"/>
  <c r="E14" i="42"/>
  <c r="D14" i="42"/>
  <c r="C14" i="42"/>
  <c r="R10" i="42"/>
  <c r="E10" i="42"/>
  <c r="D10" i="42"/>
  <c r="C10" i="42"/>
  <c r="E4" i="42"/>
  <c r="S20" i="42" s="1"/>
  <c r="AL9" i="41"/>
  <c r="D9" i="41"/>
  <c r="C9" i="41"/>
  <c r="F5" i="41"/>
  <c r="G5" i="41" s="1"/>
  <c r="S1" i="41"/>
  <c r="O12" i="42" l="1"/>
  <c r="O12" i="46"/>
  <c r="N12" i="42"/>
  <c r="E12" i="46"/>
  <c r="R12" i="46"/>
  <c r="J5" i="53"/>
  <c r="I6" i="53"/>
  <c r="J5" i="51"/>
  <c r="I6" i="51"/>
  <c r="E12" i="44"/>
  <c r="R12" i="44"/>
  <c r="N12" i="46"/>
  <c r="P12" i="44"/>
  <c r="J5" i="49"/>
  <c r="I6" i="49"/>
  <c r="O12" i="44"/>
  <c r="P12" i="46"/>
  <c r="N12" i="44"/>
  <c r="I6" i="47"/>
  <c r="J5" i="47"/>
  <c r="F6" i="43"/>
  <c r="E18" i="42"/>
  <c r="R18" i="42"/>
  <c r="E18" i="44"/>
  <c r="R18" i="44"/>
  <c r="F6" i="45"/>
  <c r="F6" i="41"/>
  <c r="E18" i="46"/>
  <c r="P18" i="42"/>
  <c r="D1" i="42"/>
  <c r="P18" i="44"/>
  <c r="D1" i="44"/>
  <c r="O18" i="46"/>
  <c r="P18" i="46"/>
  <c r="N18" i="46"/>
  <c r="R18" i="46"/>
  <c r="D1" i="46"/>
  <c r="G6" i="45"/>
  <c r="H5" i="45"/>
  <c r="N18" i="44"/>
  <c r="O18" i="44"/>
  <c r="G6" i="43"/>
  <c r="H5" i="43"/>
  <c r="N18" i="42"/>
  <c r="P12" i="42"/>
  <c r="R12" i="42"/>
  <c r="O18" i="42"/>
  <c r="G6" i="41"/>
  <c r="H5" i="41"/>
  <c r="E12" i="42"/>
  <c r="R14" i="40"/>
  <c r="E14" i="40"/>
  <c r="D14" i="40"/>
  <c r="C14" i="40"/>
  <c r="R10" i="40"/>
  <c r="E10" i="40"/>
  <c r="D10" i="40"/>
  <c r="C10" i="40"/>
  <c r="E4" i="40"/>
  <c r="S20" i="40" s="1"/>
  <c r="AL9" i="39"/>
  <c r="D9" i="39"/>
  <c r="C9" i="39"/>
  <c r="F5" i="39"/>
  <c r="G5" i="39" s="1"/>
  <c r="S1" i="39"/>
  <c r="R14" i="38"/>
  <c r="E14" i="38"/>
  <c r="D14" i="38"/>
  <c r="C14" i="38"/>
  <c r="R10" i="38"/>
  <c r="E10" i="38"/>
  <c r="D10" i="38"/>
  <c r="C10" i="38"/>
  <c r="E4" i="38"/>
  <c r="S20" i="38" s="1"/>
  <c r="AL9" i="37"/>
  <c r="D9" i="37"/>
  <c r="C9" i="37"/>
  <c r="F5" i="37"/>
  <c r="F6" i="37" s="1"/>
  <c r="S1" i="37"/>
  <c r="R14" i="36"/>
  <c r="E14" i="36"/>
  <c r="D14" i="36"/>
  <c r="C14" i="36"/>
  <c r="R10" i="36"/>
  <c r="E10" i="36"/>
  <c r="D10" i="36"/>
  <c r="C10" i="36"/>
  <c r="E4" i="36"/>
  <c r="S20" i="36" s="1"/>
  <c r="AL9" i="35"/>
  <c r="D9" i="35"/>
  <c r="C9" i="35"/>
  <c r="F5" i="35"/>
  <c r="F6" i="35" s="1"/>
  <c r="S1" i="35"/>
  <c r="N12" i="40" l="1"/>
  <c r="O12" i="36"/>
  <c r="O12" i="38"/>
  <c r="O12" i="40"/>
  <c r="N12" i="38"/>
  <c r="D1" i="36"/>
  <c r="J6" i="53"/>
  <c r="K5" i="53"/>
  <c r="J6" i="51"/>
  <c r="K5" i="51"/>
  <c r="J6" i="49"/>
  <c r="K5" i="49"/>
  <c r="J6" i="47"/>
  <c r="K5" i="47"/>
  <c r="D1" i="38"/>
  <c r="P18" i="40"/>
  <c r="I5" i="45"/>
  <c r="H6" i="45"/>
  <c r="R12" i="38"/>
  <c r="P18" i="38"/>
  <c r="N18" i="40"/>
  <c r="I5" i="43"/>
  <c r="H6" i="43"/>
  <c r="E18" i="40"/>
  <c r="R18" i="40"/>
  <c r="I5" i="41"/>
  <c r="H6" i="41"/>
  <c r="R12" i="36"/>
  <c r="P18" i="36"/>
  <c r="E18" i="38"/>
  <c r="R18" i="38"/>
  <c r="P12" i="40"/>
  <c r="R12" i="40"/>
  <c r="O18" i="40"/>
  <c r="F6" i="39"/>
  <c r="D1" i="40"/>
  <c r="G6" i="39"/>
  <c r="H5" i="39"/>
  <c r="E12" i="40"/>
  <c r="N12" i="36"/>
  <c r="E18" i="36"/>
  <c r="R18" i="36"/>
  <c r="N18" i="38"/>
  <c r="P12" i="38"/>
  <c r="O18" i="38"/>
  <c r="G5" i="37"/>
  <c r="E12" i="38"/>
  <c r="N18" i="36"/>
  <c r="P12" i="36"/>
  <c r="O18" i="36"/>
  <c r="G5" i="35"/>
  <c r="E12" i="36"/>
  <c r="C14" i="16"/>
  <c r="D14" i="16"/>
  <c r="E14" i="16"/>
  <c r="R14" i="16"/>
  <c r="C10" i="16"/>
  <c r="D10" i="16"/>
  <c r="E10" i="16"/>
  <c r="R10" i="16"/>
  <c r="P12" i="16" l="1"/>
  <c r="K6" i="53"/>
  <c r="L5" i="53"/>
  <c r="K6" i="51"/>
  <c r="L5" i="51"/>
  <c r="K6" i="49"/>
  <c r="L5" i="49"/>
  <c r="L5" i="47"/>
  <c r="K6" i="47"/>
  <c r="J5" i="45"/>
  <c r="I6" i="45"/>
  <c r="J5" i="43"/>
  <c r="I6" i="43"/>
  <c r="J5" i="41"/>
  <c r="I6" i="41"/>
  <c r="I5" i="39"/>
  <c r="H6" i="39"/>
  <c r="E12" i="16"/>
  <c r="G6" i="37"/>
  <c r="H5" i="37"/>
  <c r="P18" i="16"/>
  <c r="O18" i="16"/>
  <c r="E18" i="16"/>
  <c r="R18" i="16"/>
  <c r="N18" i="16"/>
  <c r="N12" i="16"/>
  <c r="R12" i="16"/>
  <c r="G6" i="35"/>
  <c r="H5" i="35"/>
  <c r="O12" i="16"/>
  <c r="A17" i="15"/>
  <c r="M5" i="53" l="1"/>
  <c r="L6" i="53"/>
  <c r="M5" i="51"/>
  <c r="L6" i="51"/>
  <c r="M5" i="49"/>
  <c r="L6" i="49"/>
  <c r="M5" i="47"/>
  <c r="L6" i="47"/>
  <c r="J6" i="45"/>
  <c r="K5" i="45"/>
  <c r="J6" i="43"/>
  <c r="K5" i="43"/>
  <c r="J6" i="41"/>
  <c r="K5" i="41"/>
  <c r="J5" i="39"/>
  <c r="I6" i="39"/>
  <c r="I5" i="37"/>
  <c r="H6" i="37"/>
  <c r="I5" i="35"/>
  <c r="H6" i="35"/>
  <c r="R14" i="34"/>
  <c r="E14" i="34"/>
  <c r="D14" i="34"/>
  <c r="C14" i="34"/>
  <c r="R10" i="34"/>
  <c r="R12" i="34" s="1"/>
  <c r="E10" i="34"/>
  <c r="E12" i="34" s="1"/>
  <c r="D10" i="34"/>
  <c r="C10" i="34"/>
  <c r="E4" i="34"/>
  <c r="S20" i="34" s="1"/>
  <c r="AL9" i="33"/>
  <c r="D9" i="33"/>
  <c r="C9" i="33"/>
  <c r="F5" i="33"/>
  <c r="G5" i="33" s="1"/>
  <c r="S1" i="33"/>
  <c r="N12" i="34" l="1"/>
  <c r="O12" i="34"/>
  <c r="P12" i="34"/>
  <c r="N5" i="53"/>
  <c r="M6" i="53"/>
  <c r="N5" i="51"/>
  <c r="M6" i="51"/>
  <c r="M6" i="49"/>
  <c r="N5" i="49"/>
  <c r="N5" i="47"/>
  <c r="M6" i="47"/>
  <c r="K6" i="45"/>
  <c r="L5" i="45"/>
  <c r="K6" i="43"/>
  <c r="L5" i="43"/>
  <c r="N18" i="34"/>
  <c r="K6" i="41"/>
  <c r="L5" i="41"/>
  <c r="J6" i="39"/>
  <c r="K5" i="39"/>
  <c r="O18" i="34"/>
  <c r="J5" i="37"/>
  <c r="I6" i="37"/>
  <c r="P18" i="34"/>
  <c r="E18" i="34"/>
  <c r="R18" i="34"/>
  <c r="J5" i="35"/>
  <c r="I6" i="35"/>
  <c r="F6" i="33"/>
  <c r="G6" i="33"/>
  <c r="H5" i="33"/>
  <c r="D1" i="34"/>
  <c r="N6" i="53" l="1"/>
  <c r="O5" i="53"/>
  <c r="N6" i="51"/>
  <c r="O5" i="51"/>
  <c r="N6" i="49"/>
  <c r="O5" i="49"/>
  <c r="N6" i="47"/>
  <c r="O5" i="47"/>
  <c r="M5" i="45"/>
  <c r="L6" i="45"/>
  <c r="M5" i="43"/>
  <c r="L6" i="43"/>
  <c r="M5" i="41"/>
  <c r="L6" i="41"/>
  <c r="K6" i="39"/>
  <c r="L5" i="39"/>
  <c r="J6" i="37"/>
  <c r="K5" i="37"/>
  <c r="J6" i="35"/>
  <c r="K5" i="35"/>
  <c r="I5" i="33"/>
  <c r="H6" i="33"/>
  <c r="O6" i="53" l="1"/>
  <c r="P5" i="53"/>
  <c r="O6" i="51"/>
  <c r="P5" i="51"/>
  <c r="O6" i="49"/>
  <c r="P5" i="49"/>
  <c r="P5" i="47"/>
  <c r="O6" i="47"/>
  <c r="N5" i="45"/>
  <c r="M6" i="45"/>
  <c r="N5" i="43"/>
  <c r="M6" i="43"/>
  <c r="N5" i="41"/>
  <c r="M6" i="41"/>
  <c r="M5" i="39"/>
  <c r="L6" i="39"/>
  <c r="K6" i="37"/>
  <c r="L5" i="37"/>
  <c r="K6" i="35"/>
  <c r="L5" i="35"/>
  <c r="J5" i="33"/>
  <c r="I6" i="33"/>
  <c r="E4" i="16"/>
  <c r="S20" i="16" s="1"/>
  <c r="Q5" i="53" l="1"/>
  <c r="P6" i="53"/>
  <c r="Q5" i="51"/>
  <c r="P6" i="51"/>
  <c r="Q5" i="49"/>
  <c r="P6" i="49"/>
  <c r="Q5" i="47"/>
  <c r="P6" i="47"/>
  <c r="N6" i="45"/>
  <c r="O5" i="45"/>
  <c r="N6" i="43"/>
  <c r="O5" i="43"/>
  <c r="N6" i="41"/>
  <c r="O5" i="41"/>
  <c r="N5" i="39"/>
  <c r="M6" i="39"/>
  <c r="M5" i="37"/>
  <c r="L6" i="37"/>
  <c r="M5" i="35"/>
  <c r="L6" i="35"/>
  <c r="D1" i="16"/>
  <c r="J6" i="33"/>
  <c r="K5" i="33"/>
  <c r="R5" i="53" l="1"/>
  <c r="Q6" i="53"/>
  <c r="R5" i="51"/>
  <c r="Q6" i="51"/>
  <c r="R5" i="49"/>
  <c r="Q6" i="49"/>
  <c r="R5" i="47"/>
  <c r="Q6" i="47"/>
  <c r="O6" i="45"/>
  <c r="P5" i="45"/>
  <c r="O6" i="43"/>
  <c r="P5" i="43"/>
  <c r="O6" i="41"/>
  <c r="P5" i="41"/>
  <c r="N6" i="39"/>
  <c r="O5" i="39"/>
  <c r="N5" i="37"/>
  <c r="M6" i="37"/>
  <c r="N5" i="35"/>
  <c r="M6" i="35"/>
  <c r="K6" i="33"/>
  <c r="L5" i="33"/>
  <c r="J19" i="15" a="1"/>
  <c r="J19" i="15" s="1"/>
  <c r="R6" i="53" l="1"/>
  <c r="S5" i="53"/>
  <c r="R6" i="51"/>
  <c r="S5" i="51"/>
  <c r="R6" i="49"/>
  <c r="S5" i="49"/>
  <c r="R6" i="47"/>
  <c r="S5" i="47"/>
  <c r="Q5" i="45"/>
  <c r="P6" i="45"/>
  <c r="Q5" i="43"/>
  <c r="P6" i="43"/>
  <c r="Q5" i="41"/>
  <c r="P6" i="41"/>
  <c r="O6" i="39"/>
  <c r="P5" i="39"/>
  <c r="N6" i="37"/>
  <c r="O5" i="37"/>
  <c r="N6" i="35"/>
  <c r="O5" i="35"/>
  <c r="M5" i="33"/>
  <c r="L6" i="33"/>
  <c r="AL9" i="14"/>
  <c r="S6" i="53" l="1"/>
  <c r="T5" i="53"/>
  <c r="S6" i="51"/>
  <c r="T5" i="51"/>
  <c r="S6" i="49"/>
  <c r="T5" i="49"/>
  <c r="S6" i="47"/>
  <c r="T5" i="47"/>
  <c r="R5" i="45"/>
  <c r="Q6" i="45"/>
  <c r="R5" i="43"/>
  <c r="Q6" i="43"/>
  <c r="R5" i="41"/>
  <c r="Q6" i="41"/>
  <c r="Q5" i="39"/>
  <c r="P6" i="39"/>
  <c r="O6" i="37"/>
  <c r="P5" i="37"/>
  <c r="O6" i="35"/>
  <c r="P5" i="35"/>
  <c r="N5" i="33"/>
  <c r="M6" i="33"/>
  <c r="U5" i="53" l="1"/>
  <c r="T6" i="53"/>
  <c r="U5" i="51"/>
  <c r="T6" i="51"/>
  <c r="U5" i="49"/>
  <c r="T6" i="49"/>
  <c r="U5" i="47"/>
  <c r="T6" i="47"/>
  <c r="R6" i="45"/>
  <c r="S5" i="45"/>
  <c r="R6" i="43"/>
  <c r="S5" i="43"/>
  <c r="R6" i="41"/>
  <c r="S5" i="41"/>
  <c r="R5" i="39"/>
  <c r="Q6" i="39"/>
  <c r="Q5" i="37"/>
  <c r="P6" i="37"/>
  <c r="Q5" i="35"/>
  <c r="P6" i="35"/>
  <c r="N6" i="33"/>
  <c r="O5" i="33"/>
  <c r="S1" i="14"/>
  <c r="V5" i="53" l="1"/>
  <c r="U6" i="53"/>
  <c r="V5" i="51"/>
  <c r="U6" i="51"/>
  <c r="V5" i="49"/>
  <c r="U6" i="49"/>
  <c r="U6" i="47"/>
  <c r="V5" i="47"/>
  <c r="S6" i="45"/>
  <c r="T5" i="45"/>
  <c r="S6" i="43"/>
  <c r="T5" i="43"/>
  <c r="S6" i="41"/>
  <c r="T5" i="41"/>
  <c r="R6" i="39"/>
  <c r="S5" i="39"/>
  <c r="R5" i="37"/>
  <c r="Q6" i="37"/>
  <c r="R5" i="35"/>
  <c r="Q6" i="35"/>
  <c r="O6" i="33"/>
  <c r="P5" i="33"/>
  <c r="V6" i="53" l="1"/>
  <c r="W5" i="53"/>
  <c r="V6" i="51"/>
  <c r="W5" i="51"/>
  <c r="V6" i="49"/>
  <c r="W5" i="49"/>
  <c r="V6" i="47"/>
  <c r="W5" i="47"/>
  <c r="U5" i="45"/>
  <c r="T6" i="45"/>
  <c r="U5" i="43"/>
  <c r="T6" i="43"/>
  <c r="U5" i="41"/>
  <c r="T6" i="41"/>
  <c r="S6" i="39"/>
  <c r="T5" i="39"/>
  <c r="R6" i="37"/>
  <c r="S5" i="37"/>
  <c r="R6" i="35"/>
  <c r="S5" i="35"/>
  <c r="Q5" i="33"/>
  <c r="P6" i="33"/>
  <c r="D9" i="14"/>
  <c r="C9" i="14"/>
  <c r="F5" i="14"/>
  <c r="W6" i="53" l="1"/>
  <c r="X5" i="53"/>
  <c r="W6" i="51"/>
  <c r="X5" i="51"/>
  <c r="W6" i="49"/>
  <c r="X5" i="49"/>
  <c r="X5" i="47"/>
  <c r="W6" i="47"/>
  <c r="V5" i="45"/>
  <c r="U6" i="45"/>
  <c r="V5" i="43"/>
  <c r="U6" i="43"/>
  <c r="V5" i="41"/>
  <c r="U6" i="41"/>
  <c r="U5" i="39"/>
  <c r="T6" i="39"/>
  <c r="S6" i="37"/>
  <c r="T5" i="37"/>
  <c r="S6" i="35"/>
  <c r="T5" i="35"/>
  <c r="R5" i="33"/>
  <c r="Q6" i="33"/>
  <c r="F6" i="14"/>
  <c r="G5" i="14"/>
  <c r="Y5" i="53" l="1"/>
  <c r="X6" i="53"/>
  <c r="Y5" i="51"/>
  <c r="X6" i="51"/>
  <c r="Y5" i="49"/>
  <c r="X6" i="49"/>
  <c r="Y5" i="47"/>
  <c r="X6" i="47"/>
  <c r="V6" i="45"/>
  <c r="W5" i="45"/>
  <c r="V6" i="43"/>
  <c r="W5" i="43"/>
  <c r="V6" i="41"/>
  <c r="W5" i="41"/>
  <c r="V5" i="39"/>
  <c r="U6" i="39"/>
  <c r="U5" i="37"/>
  <c r="T6" i="37"/>
  <c r="U5" i="35"/>
  <c r="T6" i="35"/>
  <c r="R6" i="33"/>
  <c r="S5" i="33"/>
  <c r="H5" i="14"/>
  <c r="G6" i="14"/>
  <c r="Z5" i="53" l="1"/>
  <c r="Y6" i="53"/>
  <c r="Z5" i="51"/>
  <c r="Y6" i="51"/>
  <c r="Z5" i="49"/>
  <c r="Y6" i="49"/>
  <c r="Y6" i="47"/>
  <c r="Z5" i="47"/>
  <c r="W6" i="45"/>
  <c r="X5" i="45"/>
  <c r="W6" i="43"/>
  <c r="X5" i="43"/>
  <c r="W6" i="41"/>
  <c r="X5" i="41"/>
  <c r="V6" i="39"/>
  <c r="W5" i="39"/>
  <c r="V5" i="37"/>
  <c r="U6" i="37"/>
  <c r="V5" i="35"/>
  <c r="U6" i="35"/>
  <c r="S6" i="33"/>
  <c r="T5" i="33"/>
  <c r="H6" i="14"/>
  <c r="I5" i="14"/>
  <c r="Z6" i="53" l="1"/>
  <c r="AA5" i="53"/>
  <c r="Z6" i="51"/>
  <c r="AA5" i="51"/>
  <c r="Z6" i="49"/>
  <c r="AA5" i="49"/>
  <c r="Z6" i="47"/>
  <c r="AA5" i="47"/>
  <c r="Y5" i="45"/>
  <c r="X6" i="45"/>
  <c r="Y5" i="43"/>
  <c r="X6" i="43"/>
  <c r="Y5" i="41"/>
  <c r="X6" i="41"/>
  <c r="W6" i="39"/>
  <c r="X5" i="39"/>
  <c r="V6" i="37"/>
  <c r="W5" i="37"/>
  <c r="V6" i="35"/>
  <c r="W5" i="35"/>
  <c r="U5" i="33"/>
  <c r="T6" i="33"/>
  <c r="I6" i="14"/>
  <c r="J5" i="14"/>
  <c r="AA6" i="53" l="1"/>
  <c r="AB5" i="53"/>
  <c r="AA6" i="51"/>
  <c r="AB5" i="51"/>
  <c r="AA6" i="49"/>
  <c r="AB5" i="49"/>
  <c r="AB5" i="47"/>
  <c r="AA6" i="47"/>
  <c r="Z5" i="45"/>
  <c r="Y6" i="45"/>
  <c r="Z5" i="43"/>
  <c r="Y6" i="43"/>
  <c r="Z5" i="41"/>
  <c r="Y6" i="41"/>
  <c r="Y5" i="39"/>
  <c r="X6" i="39"/>
  <c r="W6" i="37"/>
  <c r="X5" i="37"/>
  <c r="W6" i="35"/>
  <c r="X5" i="35"/>
  <c r="V5" i="33"/>
  <c r="U6" i="33"/>
  <c r="K5" i="14"/>
  <c r="J6" i="14"/>
  <c r="AC5" i="53" l="1"/>
  <c r="AB6" i="53"/>
  <c r="AC5" i="51"/>
  <c r="AB6" i="51"/>
  <c r="AC5" i="49"/>
  <c r="AB6" i="49"/>
  <c r="AC5" i="47"/>
  <c r="AB6" i="47"/>
  <c r="Z6" i="45"/>
  <c r="AA5" i="45"/>
  <c r="Z6" i="43"/>
  <c r="AA5" i="43"/>
  <c r="Z6" i="41"/>
  <c r="AA5" i="41"/>
  <c r="Z5" i="39"/>
  <c r="Y6" i="39"/>
  <c r="Y5" i="37"/>
  <c r="X6" i="37"/>
  <c r="Y5" i="35"/>
  <c r="X6" i="35"/>
  <c r="V6" i="33"/>
  <c r="W5" i="33"/>
  <c r="K6" i="14"/>
  <c r="L5" i="14"/>
  <c r="AD5" i="53" l="1"/>
  <c r="AC6" i="53"/>
  <c r="AD5" i="51"/>
  <c r="AC6" i="51"/>
  <c r="AD5" i="49"/>
  <c r="AC6" i="49"/>
  <c r="AD5" i="47"/>
  <c r="AC6" i="47"/>
  <c r="AA6" i="45"/>
  <c r="AB5" i="45"/>
  <c r="AA6" i="43"/>
  <c r="AB5" i="43"/>
  <c r="AA6" i="41"/>
  <c r="AB5" i="41"/>
  <c r="Z6" i="39"/>
  <c r="AA5" i="39"/>
  <c r="Z5" i="37"/>
  <c r="Y6" i="37"/>
  <c r="Z5" i="35"/>
  <c r="Y6" i="35"/>
  <c r="W6" i="33"/>
  <c r="X5" i="33"/>
  <c r="M5" i="14"/>
  <c r="L6" i="14"/>
  <c r="AD6" i="53" l="1"/>
  <c r="AE5" i="53"/>
  <c r="AD6" i="51"/>
  <c r="AE5" i="51"/>
  <c r="AD6" i="49"/>
  <c r="AE5" i="49"/>
  <c r="AD6" i="47"/>
  <c r="AE5" i="47"/>
  <c r="AC5" i="45"/>
  <c r="AB6" i="45"/>
  <c r="AC5" i="43"/>
  <c r="AB6" i="43"/>
  <c r="AC5" i="41"/>
  <c r="AB6" i="41"/>
  <c r="AA6" i="39"/>
  <c r="AB5" i="39"/>
  <c r="Z6" i="37"/>
  <c r="AA5" i="37"/>
  <c r="Z6" i="35"/>
  <c r="AA5" i="35"/>
  <c r="Y5" i="33"/>
  <c r="X6" i="33"/>
  <c r="N5" i="14"/>
  <c r="M6" i="14"/>
  <c r="AE6" i="53" l="1"/>
  <c r="AF5" i="53"/>
  <c r="AE6" i="51"/>
  <c r="AF5" i="51"/>
  <c r="AE6" i="49"/>
  <c r="AF5" i="49"/>
  <c r="AF5" i="47"/>
  <c r="AE6" i="47"/>
  <c r="AD5" i="45"/>
  <c r="AC6" i="45"/>
  <c r="AD5" i="43"/>
  <c r="AC6" i="43"/>
  <c r="AD5" i="41"/>
  <c r="AC6" i="41"/>
  <c r="AC5" i="39"/>
  <c r="AB6" i="39"/>
  <c r="AA6" i="37"/>
  <c r="AB5" i="37"/>
  <c r="AA6" i="35"/>
  <c r="AB5" i="35"/>
  <c r="Z5" i="33"/>
  <c r="Y6" i="33"/>
  <c r="O5" i="14"/>
  <c r="N6" i="14"/>
  <c r="AG5" i="53" l="1"/>
  <c r="AF6" i="53"/>
  <c r="AG5" i="51"/>
  <c r="AF6" i="51"/>
  <c r="AG5" i="49"/>
  <c r="AH5" i="49" s="1"/>
  <c r="AH6" i="49" s="1"/>
  <c r="AF6" i="49"/>
  <c r="AG5" i="47"/>
  <c r="AF6" i="47"/>
  <c r="AD6" i="45"/>
  <c r="AE5" i="45"/>
  <c r="AD6" i="43"/>
  <c r="AE5" i="43"/>
  <c r="AD6" i="41"/>
  <c r="AE5" i="41"/>
  <c r="AD5" i="39"/>
  <c r="AC6" i="39"/>
  <c r="AC5" i="37"/>
  <c r="AB6" i="37"/>
  <c r="AC5" i="35"/>
  <c r="AB6" i="35"/>
  <c r="Z6" i="33"/>
  <c r="AA5" i="33"/>
  <c r="P5" i="14"/>
  <c r="O6" i="14"/>
  <c r="AH5" i="53" l="1"/>
  <c r="AG6" i="53"/>
  <c r="AH5" i="51"/>
  <c r="AG6" i="51"/>
  <c r="AG6" i="49"/>
  <c r="AH5" i="47"/>
  <c r="AG6" i="47"/>
  <c r="AE6" i="45"/>
  <c r="AF5" i="45"/>
  <c r="AE6" i="43"/>
  <c r="AF5" i="43"/>
  <c r="AE6" i="41"/>
  <c r="AF5" i="41"/>
  <c r="AD6" i="39"/>
  <c r="AE5" i="39"/>
  <c r="AD5" i="37"/>
  <c r="AC6" i="37"/>
  <c r="AD5" i="35"/>
  <c r="AC6" i="35"/>
  <c r="AA6" i="33"/>
  <c r="AB5" i="33"/>
  <c r="P6" i="14"/>
  <c r="Q5" i="14"/>
  <c r="AH6" i="53" l="1"/>
  <c r="AI5" i="53"/>
  <c r="AH6" i="51"/>
  <c r="AI5" i="51"/>
  <c r="AH6" i="47"/>
  <c r="AI5" i="47"/>
  <c r="AG5" i="45"/>
  <c r="AF6" i="45"/>
  <c r="AG5" i="43"/>
  <c r="AF6" i="43"/>
  <c r="AG5" i="41"/>
  <c r="AF6" i="41"/>
  <c r="AE6" i="39"/>
  <c r="AF5" i="39"/>
  <c r="AD6" i="37"/>
  <c r="AE5" i="37"/>
  <c r="AD6" i="35"/>
  <c r="AE5" i="35"/>
  <c r="AC5" i="33"/>
  <c r="AB6" i="33"/>
  <c r="R5" i="14"/>
  <c r="Q6" i="14"/>
  <c r="AI18" i="49" l="1"/>
  <c r="AI16" i="49"/>
  <c r="AK18" i="49"/>
  <c r="AK16" i="49"/>
  <c r="AI6" i="53"/>
  <c r="AI6" i="51"/>
  <c r="AJ5" i="51"/>
  <c r="AJ6" i="51" s="1"/>
  <c r="AJ5" i="47"/>
  <c r="AJ6" i="47" s="1"/>
  <c r="AI6" i="47"/>
  <c r="AH5" i="45"/>
  <c r="AG6" i="45"/>
  <c r="AH5" i="43"/>
  <c r="AG6" i="43"/>
  <c r="AH5" i="41"/>
  <c r="AG6" i="41"/>
  <c r="AG5" i="39"/>
  <c r="AF6" i="39"/>
  <c r="AE6" i="37"/>
  <c r="AF5" i="37"/>
  <c r="AE6" i="35"/>
  <c r="AF5" i="35"/>
  <c r="AD5" i="33"/>
  <c r="AC6" i="33"/>
  <c r="S5" i="14"/>
  <c r="R6" i="14"/>
  <c r="AL18" i="53" l="1"/>
  <c r="H17" i="54" s="1"/>
  <c r="AJ16" i="53"/>
  <c r="AJ18" i="53"/>
  <c r="AL16" i="53"/>
  <c r="H16" i="54" s="1"/>
  <c r="AK16" i="51"/>
  <c r="AM16" i="51"/>
  <c r="H16" i="52" s="1"/>
  <c r="AK18" i="51"/>
  <c r="AM18" i="51"/>
  <c r="H17" i="52" s="1"/>
  <c r="AL18" i="49"/>
  <c r="H17" i="50" s="1"/>
  <c r="F17" i="50"/>
  <c r="AL16" i="49"/>
  <c r="H16" i="50" s="1"/>
  <c r="F16" i="50"/>
  <c r="AM16" i="47"/>
  <c r="H16" i="48" s="1"/>
  <c r="AK16" i="47"/>
  <c r="AM18" i="47"/>
  <c r="H17" i="48" s="1"/>
  <c r="AK18" i="47"/>
  <c r="AM14" i="51"/>
  <c r="AK14" i="51"/>
  <c r="AL14" i="53"/>
  <c r="H15" i="54" s="1"/>
  <c r="AJ14" i="53"/>
  <c r="AJ9" i="53"/>
  <c r="AL9" i="53"/>
  <c r="AM9" i="51"/>
  <c r="H10" i="52" s="1"/>
  <c r="AK9" i="51"/>
  <c r="AK9" i="49"/>
  <c r="AI9" i="49"/>
  <c r="AI14" i="49"/>
  <c r="F15" i="50" s="1"/>
  <c r="AK14" i="49"/>
  <c r="AK9" i="47"/>
  <c r="F10" i="48" s="1"/>
  <c r="AM14" i="47"/>
  <c r="H15" i="48" s="1"/>
  <c r="AM9" i="47"/>
  <c r="AK14" i="47"/>
  <c r="AH6" i="45"/>
  <c r="AI5" i="45"/>
  <c r="AH6" i="43"/>
  <c r="AI5" i="43"/>
  <c r="AH6" i="41"/>
  <c r="AI5" i="41"/>
  <c r="AH5" i="39"/>
  <c r="AG6" i="39"/>
  <c r="AG5" i="37"/>
  <c r="AF6" i="37"/>
  <c r="AG5" i="35"/>
  <c r="AF6" i="35"/>
  <c r="AD6" i="33"/>
  <c r="AE5" i="33"/>
  <c r="S6" i="14"/>
  <c r="T5" i="14"/>
  <c r="F17" i="54" l="1"/>
  <c r="AM18" i="53"/>
  <c r="AM16" i="53"/>
  <c r="F16" i="54"/>
  <c r="F17" i="52"/>
  <c r="AN18" i="51"/>
  <c r="AN16" i="51"/>
  <c r="F16" i="52"/>
  <c r="L17" i="50"/>
  <c r="J17" i="50"/>
  <c r="L16" i="50"/>
  <c r="J16" i="50"/>
  <c r="F17" i="48"/>
  <c r="AN18" i="47"/>
  <c r="AN16" i="47"/>
  <c r="F16" i="48"/>
  <c r="F15" i="48"/>
  <c r="AN14" i="51"/>
  <c r="H10" i="54"/>
  <c r="F10" i="54"/>
  <c r="H10" i="50"/>
  <c r="F10" i="50"/>
  <c r="AM14" i="53"/>
  <c r="F15" i="54"/>
  <c r="H15" i="52"/>
  <c r="H10" i="48"/>
  <c r="AM9" i="53"/>
  <c r="F15" i="52"/>
  <c r="AN9" i="51"/>
  <c r="F10" i="52"/>
  <c r="AL14" i="49"/>
  <c r="H15" i="50" s="1"/>
  <c r="AL9" i="49"/>
  <c r="AN14" i="47"/>
  <c r="AN9" i="47"/>
  <c r="AI6" i="45"/>
  <c r="AJ5" i="45"/>
  <c r="AJ6" i="45" s="1"/>
  <c r="AI6" i="43"/>
  <c r="AI6" i="41"/>
  <c r="AJ5" i="41"/>
  <c r="AJ6" i="41" s="1"/>
  <c r="AH6" i="39"/>
  <c r="AI5" i="39"/>
  <c r="AH5" i="37"/>
  <c r="AG6" i="37"/>
  <c r="AH5" i="35"/>
  <c r="AG6" i="35"/>
  <c r="AE6" i="33"/>
  <c r="AF5" i="33"/>
  <c r="T6" i="14"/>
  <c r="U5" i="14"/>
  <c r="H16" i="46" l="1"/>
  <c r="H15" i="46"/>
  <c r="AM16" i="43"/>
  <c r="H16" i="44" s="1"/>
  <c r="AM14" i="43"/>
  <c r="H15" i="44" s="1"/>
  <c r="AK14" i="43"/>
  <c r="AK16" i="43"/>
  <c r="AM14" i="41"/>
  <c r="H15" i="42" s="1"/>
  <c r="AM16" i="41"/>
  <c r="H16" i="42" s="1"/>
  <c r="AK14" i="41"/>
  <c r="AK16" i="41"/>
  <c r="L16" i="54"/>
  <c r="J16" i="54"/>
  <c r="L17" i="54"/>
  <c r="J17" i="54"/>
  <c r="L17" i="52"/>
  <c r="J17" i="52"/>
  <c r="L16" i="52"/>
  <c r="J16" i="52"/>
  <c r="J15" i="48"/>
  <c r="L15" i="48"/>
  <c r="L16" i="48"/>
  <c r="J16" i="48"/>
  <c r="J17" i="48"/>
  <c r="L17" i="48"/>
  <c r="AM12" i="45"/>
  <c r="AK12" i="45"/>
  <c r="AM12" i="43"/>
  <c r="AK12" i="43"/>
  <c r="AK12" i="41"/>
  <c r="AM12" i="41"/>
  <c r="U2" i="54"/>
  <c r="U2" i="50"/>
  <c r="U2" i="48"/>
  <c r="U2" i="52"/>
  <c r="L10" i="54"/>
  <c r="J10" i="54"/>
  <c r="J15" i="54"/>
  <c r="L15" i="54"/>
  <c r="L10" i="52"/>
  <c r="J10" i="52"/>
  <c r="J15" i="52"/>
  <c r="L15" i="52"/>
  <c r="L10" i="50"/>
  <c r="J10" i="50"/>
  <c r="J15" i="50"/>
  <c r="L15" i="50"/>
  <c r="L10" i="48"/>
  <c r="J10" i="48"/>
  <c r="AK9" i="45"/>
  <c r="AM9" i="45"/>
  <c r="H10" i="46" s="1"/>
  <c r="AK9" i="43"/>
  <c r="F10" i="44" s="1"/>
  <c r="AM9" i="43"/>
  <c r="H10" i="44" s="1"/>
  <c r="AK9" i="41"/>
  <c r="AM9" i="41"/>
  <c r="H10" i="42" s="1"/>
  <c r="AI6" i="39"/>
  <c r="AJ5" i="39"/>
  <c r="AJ6" i="39" s="1"/>
  <c r="AH6" i="37"/>
  <c r="AI5" i="37"/>
  <c r="AH6" i="35"/>
  <c r="AI5" i="35"/>
  <c r="AG5" i="33"/>
  <c r="AF6" i="33"/>
  <c r="V5" i="14"/>
  <c r="U6" i="14"/>
  <c r="I11" i="54" l="1"/>
  <c r="G11" i="54"/>
  <c r="I11" i="52"/>
  <c r="G11" i="52"/>
  <c r="K11" i="52" s="1"/>
  <c r="M11" i="52" s="1"/>
  <c r="Q11" i="52" s="1"/>
  <c r="S11" i="52" s="1"/>
  <c r="O11" i="15" s="1"/>
  <c r="I11" i="50"/>
  <c r="G11" i="50"/>
  <c r="I11" i="48"/>
  <c r="G11" i="48"/>
  <c r="L13" i="48"/>
  <c r="AN12" i="45"/>
  <c r="F16" i="46"/>
  <c r="AN16" i="45"/>
  <c r="F15" i="46"/>
  <c r="AN14" i="45"/>
  <c r="AN16" i="43"/>
  <c r="F16" i="44"/>
  <c r="F15" i="44"/>
  <c r="AN14" i="43"/>
  <c r="AN16" i="41"/>
  <c r="F16" i="42"/>
  <c r="AN14" i="41"/>
  <c r="F15" i="42"/>
  <c r="AM14" i="39"/>
  <c r="H15" i="40" s="1"/>
  <c r="AM16" i="39"/>
  <c r="H16" i="40" s="1"/>
  <c r="AK16" i="39"/>
  <c r="AK14" i="39"/>
  <c r="G16" i="54"/>
  <c r="I17" i="54"/>
  <c r="I16" i="54"/>
  <c r="G17" i="54"/>
  <c r="G16" i="52"/>
  <c r="G17" i="52"/>
  <c r="I16" i="52"/>
  <c r="I17" i="52"/>
  <c r="G17" i="50"/>
  <c r="I16" i="50"/>
  <c r="I17" i="50"/>
  <c r="G16" i="50"/>
  <c r="G16" i="48"/>
  <c r="G17" i="48"/>
  <c r="G15" i="48"/>
  <c r="I15" i="48"/>
  <c r="I16" i="48"/>
  <c r="I17" i="48"/>
  <c r="AN12" i="41"/>
  <c r="AN12" i="43"/>
  <c r="L19" i="54"/>
  <c r="G10" i="54"/>
  <c r="I10" i="54"/>
  <c r="I15" i="54"/>
  <c r="G15" i="54"/>
  <c r="AM12" i="39"/>
  <c r="AK12" i="39"/>
  <c r="G15" i="50"/>
  <c r="G10" i="50"/>
  <c r="I10" i="50"/>
  <c r="I15" i="50"/>
  <c r="G10" i="48"/>
  <c r="I10" i="48"/>
  <c r="G10" i="52"/>
  <c r="G15" i="52"/>
  <c r="L13" i="52"/>
  <c r="I10" i="52"/>
  <c r="I15" i="52"/>
  <c r="H14" i="46"/>
  <c r="H14" i="44"/>
  <c r="H14" i="42"/>
  <c r="L13" i="54"/>
  <c r="L19" i="50"/>
  <c r="L19" i="52"/>
  <c r="L13" i="50"/>
  <c r="L19" i="48"/>
  <c r="F14" i="46"/>
  <c r="AN9" i="45"/>
  <c r="F10" i="46"/>
  <c r="AN9" i="43"/>
  <c r="F14" i="44"/>
  <c r="AN9" i="41"/>
  <c r="F10" i="42"/>
  <c r="F14" i="42"/>
  <c r="AM9" i="39"/>
  <c r="H10" i="40" s="1"/>
  <c r="AK9" i="39"/>
  <c r="AI6" i="37"/>
  <c r="AJ5" i="37"/>
  <c r="AJ6" i="37" s="1"/>
  <c r="AI6" i="35"/>
  <c r="AJ5" i="35"/>
  <c r="AJ6" i="35" s="1"/>
  <c r="AH5" i="33"/>
  <c r="AG6" i="33"/>
  <c r="W5" i="14"/>
  <c r="V6" i="14"/>
  <c r="K11" i="54" l="1"/>
  <c r="M11" i="54" s="1"/>
  <c r="Q11" i="54" s="1"/>
  <c r="S11" i="54" s="1"/>
  <c r="Q11" i="15" s="1"/>
  <c r="K11" i="50"/>
  <c r="M11" i="50" s="1"/>
  <c r="Q11" i="50" s="1"/>
  <c r="S11" i="50" s="1"/>
  <c r="M11" i="15" s="1"/>
  <c r="K11" i="48"/>
  <c r="M11" i="48" s="1"/>
  <c r="Q11" i="48" s="1"/>
  <c r="S11" i="48" s="1"/>
  <c r="K11" i="15" s="1"/>
  <c r="K17" i="54"/>
  <c r="M17" i="54" s="1"/>
  <c r="Q17" i="54" s="1"/>
  <c r="S17" i="54" s="1"/>
  <c r="Q14" i="15" s="1"/>
  <c r="AN12" i="39"/>
  <c r="L15" i="46"/>
  <c r="J15" i="46"/>
  <c r="L16" i="46"/>
  <c r="J16" i="46"/>
  <c r="L16" i="44"/>
  <c r="J16" i="44"/>
  <c r="J15" i="44"/>
  <c r="L15" i="44"/>
  <c r="L15" i="42"/>
  <c r="J15" i="42"/>
  <c r="L16" i="42"/>
  <c r="J16" i="42"/>
  <c r="F15" i="40"/>
  <c r="AN14" i="39"/>
  <c r="F16" i="40"/>
  <c r="AN16" i="39"/>
  <c r="AK14" i="37"/>
  <c r="AM14" i="37"/>
  <c r="H15" i="38" s="1"/>
  <c r="AK16" i="37"/>
  <c r="AM16" i="37"/>
  <c r="H16" i="38" s="1"/>
  <c r="AK16" i="35"/>
  <c r="AK14" i="35"/>
  <c r="AM16" i="35"/>
  <c r="H16" i="36" s="1"/>
  <c r="AM14" i="35"/>
  <c r="H15" i="36" s="1"/>
  <c r="K16" i="50"/>
  <c r="M16" i="50" s="1"/>
  <c r="Q16" i="50" s="1"/>
  <c r="S16" i="50" s="1"/>
  <c r="M13" i="15" s="1"/>
  <c r="G13" i="48"/>
  <c r="I13" i="48"/>
  <c r="K15" i="48"/>
  <c r="M15" i="48" s="1"/>
  <c r="Q15" i="48" s="1"/>
  <c r="S15" i="48" s="1"/>
  <c r="K12" i="15" s="1"/>
  <c r="K16" i="54"/>
  <c r="M16" i="54" s="1"/>
  <c r="Q16" i="54" s="1"/>
  <c r="S16" i="54" s="1"/>
  <c r="Q13" i="15" s="1"/>
  <c r="K17" i="52"/>
  <c r="M17" i="52" s="1"/>
  <c r="Q17" i="52" s="1"/>
  <c r="S17" i="52" s="1"/>
  <c r="K16" i="52"/>
  <c r="M16" i="52" s="1"/>
  <c r="Q16" i="52" s="1"/>
  <c r="S16" i="52" s="1"/>
  <c r="O13" i="15" s="1"/>
  <c r="K17" i="50"/>
  <c r="M17" i="50" s="1"/>
  <c r="Q17" i="50" s="1"/>
  <c r="S17" i="50" s="1"/>
  <c r="K17" i="48"/>
  <c r="M17" i="48" s="1"/>
  <c r="Q17" i="48" s="1"/>
  <c r="S17" i="48" s="1"/>
  <c r="K16" i="48"/>
  <c r="M16" i="48" s="1"/>
  <c r="Q16" i="48" s="1"/>
  <c r="S16" i="48" s="1"/>
  <c r="K13" i="15" s="1"/>
  <c r="K10" i="50"/>
  <c r="M10" i="50" s="1"/>
  <c r="K10" i="48"/>
  <c r="K15" i="54"/>
  <c r="M15" i="54" s="1"/>
  <c r="U2" i="44"/>
  <c r="G19" i="50"/>
  <c r="K15" i="50"/>
  <c r="M15" i="50" s="1"/>
  <c r="I13" i="54"/>
  <c r="K10" i="54"/>
  <c r="I19" i="54"/>
  <c r="G13" i="54"/>
  <c r="G19" i="54"/>
  <c r="G19" i="52"/>
  <c r="AM12" i="37"/>
  <c r="AK12" i="37"/>
  <c r="I13" i="50"/>
  <c r="I19" i="50"/>
  <c r="G13" i="50"/>
  <c r="AM12" i="35"/>
  <c r="AK12" i="35"/>
  <c r="K10" i="52"/>
  <c r="M10" i="52" s="1"/>
  <c r="G19" i="48"/>
  <c r="I19" i="48"/>
  <c r="G13" i="52"/>
  <c r="K15" i="52"/>
  <c r="M15" i="52" s="1"/>
  <c r="I13" i="52"/>
  <c r="I19" i="52"/>
  <c r="U2" i="46"/>
  <c r="U2" i="42"/>
  <c r="H14" i="40"/>
  <c r="L10" i="46"/>
  <c r="J10" i="46"/>
  <c r="J14" i="46"/>
  <c r="L14" i="46"/>
  <c r="L10" i="44"/>
  <c r="J10" i="44"/>
  <c r="J14" i="44"/>
  <c r="L14" i="44"/>
  <c r="J14" i="42"/>
  <c r="L14" i="42"/>
  <c r="L10" i="42"/>
  <c r="J10" i="42"/>
  <c r="F14" i="40"/>
  <c r="AN9" i="39"/>
  <c r="F10" i="40"/>
  <c r="AK9" i="37"/>
  <c r="AM9" i="37"/>
  <c r="H10" i="38" s="1"/>
  <c r="AK9" i="35"/>
  <c r="AM9" i="35"/>
  <c r="H10" i="36" s="1"/>
  <c r="AH6" i="33"/>
  <c r="AI5" i="33"/>
  <c r="X5" i="14"/>
  <c r="W6" i="14"/>
  <c r="AH11" i="15" l="1"/>
  <c r="O14" i="15"/>
  <c r="M14" i="15"/>
  <c r="L15" i="40"/>
  <c r="J15" i="40"/>
  <c r="L16" i="40"/>
  <c r="J16" i="40"/>
  <c r="F16" i="38"/>
  <c r="AN16" i="37"/>
  <c r="F15" i="38"/>
  <c r="AN14" i="37"/>
  <c r="AN16" i="35"/>
  <c r="F16" i="36"/>
  <c r="AN14" i="35"/>
  <c r="F15" i="36"/>
  <c r="M10" i="48"/>
  <c r="K13" i="48"/>
  <c r="G15" i="46"/>
  <c r="I15" i="46"/>
  <c r="I16" i="46"/>
  <c r="G16" i="46"/>
  <c r="I15" i="44"/>
  <c r="G15" i="44"/>
  <c r="G16" i="44"/>
  <c r="I16" i="44"/>
  <c r="G10" i="44"/>
  <c r="G15" i="42"/>
  <c r="I15" i="42"/>
  <c r="G16" i="42"/>
  <c r="I16" i="42"/>
  <c r="AN12" i="37"/>
  <c r="K13" i="50"/>
  <c r="K13" i="54"/>
  <c r="K19" i="50"/>
  <c r="K19" i="54"/>
  <c r="AN12" i="35"/>
  <c r="M10" i="54"/>
  <c r="M13" i="54" s="1"/>
  <c r="K13" i="52"/>
  <c r="G10" i="42"/>
  <c r="K19" i="48"/>
  <c r="I10" i="42"/>
  <c r="G14" i="42"/>
  <c r="I14" i="42"/>
  <c r="K19" i="52"/>
  <c r="I14" i="46"/>
  <c r="G14" i="46"/>
  <c r="G10" i="46"/>
  <c r="I10" i="46"/>
  <c r="I10" i="44"/>
  <c r="I14" i="44"/>
  <c r="G14" i="44"/>
  <c r="U2" i="40"/>
  <c r="H14" i="38"/>
  <c r="H14" i="36"/>
  <c r="L12" i="44"/>
  <c r="Q15" i="54"/>
  <c r="M19" i="54"/>
  <c r="Q15" i="52"/>
  <c r="M19" i="52"/>
  <c r="Q10" i="52"/>
  <c r="M13" i="52"/>
  <c r="Q10" i="50"/>
  <c r="M13" i="50"/>
  <c r="Q15" i="50"/>
  <c r="M19" i="50"/>
  <c r="M19" i="48"/>
  <c r="L12" i="46"/>
  <c r="L18" i="46"/>
  <c r="L18" i="44"/>
  <c r="L12" i="42"/>
  <c r="L18" i="42"/>
  <c r="L10" i="40"/>
  <c r="J10" i="40"/>
  <c r="J14" i="40"/>
  <c r="L14" i="40"/>
  <c r="F14" i="38"/>
  <c r="AN9" i="37"/>
  <c r="F10" i="38"/>
  <c r="F14" i="36"/>
  <c r="AN9" i="35"/>
  <c r="F10" i="36"/>
  <c r="AI6" i="33"/>
  <c r="AJ5" i="33"/>
  <c r="AJ6" i="33" s="1"/>
  <c r="Y5" i="14"/>
  <c r="X6" i="14"/>
  <c r="L15" i="38" l="1"/>
  <c r="J15" i="38"/>
  <c r="J16" i="38"/>
  <c r="L16" i="38"/>
  <c r="L15" i="36"/>
  <c r="J15" i="36"/>
  <c r="L16" i="36"/>
  <c r="J16" i="36"/>
  <c r="AK16" i="33"/>
  <c r="AM14" i="33"/>
  <c r="H15" i="34" s="1"/>
  <c r="AM16" i="33"/>
  <c r="H16" i="34" s="1"/>
  <c r="AK14" i="33"/>
  <c r="K15" i="44"/>
  <c r="M15" i="44" s="1"/>
  <c r="Q15" i="44" s="1"/>
  <c r="S15" i="44" s="1"/>
  <c r="AE13" i="15" s="1"/>
  <c r="Q10" i="48"/>
  <c r="M13" i="48"/>
  <c r="K15" i="46"/>
  <c r="M15" i="46" s="1"/>
  <c r="Q15" i="46" s="1"/>
  <c r="S15" i="46" s="1"/>
  <c r="AG13" i="15" s="1"/>
  <c r="K16" i="46"/>
  <c r="M16" i="46" s="1"/>
  <c r="Q16" i="46" s="1"/>
  <c r="S16" i="46" s="1"/>
  <c r="AG14" i="15" s="1"/>
  <c r="K16" i="44"/>
  <c r="M16" i="44" s="1"/>
  <c r="Q16" i="44" s="1"/>
  <c r="S16" i="44" s="1"/>
  <c r="AE14" i="15" s="1"/>
  <c r="K10" i="44"/>
  <c r="M10" i="44" s="1"/>
  <c r="K15" i="42"/>
  <c r="M15" i="42" s="1"/>
  <c r="Q15" i="42" s="1"/>
  <c r="S15" i="42" s="1"/>
  <c r="AC13" i="15" s="1"/>
  <c r="K16" i="42"/>
  <c r="M16" i="42" s="1"/>
  <c r="Q16" i="42" s="1"/>
  <c r="S16" i="42" s="1"/>
  <c r="AC14" i="15" s="1"/>
  <c r="G15" i="40"/>
  <c r="I15" i="40"/>
  <c r="G16" i="40"/>
  <c r="I16" i="40"/>
  <c r="Q10" i="54"/>
  <c r="Q13" i="54" s="1"/>
  <c r="K14" i="46"/>
  <c r="M14" i="46" s="1"/>
  <c r="G12" i="42"/>
  <c r="K10" i="46"/>
  <c r="M10" i="46" s="1"/>
  <c r="K14" i="42"/>
  <c r="M14" i="42" s="1"/>
  <c r="K10" i="42"/>
  <c r="M10" i="42" s="1"/>
  <c r="I12" i="42"/>
  <c r="AK12" i="33"/>
  <c r="AM12" i="33"/>
  <c r="K14" i="44"/>
  <c r="M14" i="44" s="1"/>
  <c r="G12" i="46"/>
  <c r="G18" i="46"/>
  <c r="I18" i="46"/>
  <c r="I12" i="46"/>
  <c r="I18" i="44"/>
  <c r="G18" i="44"/>
  <c r="I12" i="44"/>
  <c r="G12" i="44"/>
  <c r="I18" i="42"/>
  <c r="G18" i="42"/>
  <c r="I10" i="40"/>
  <c r="I14" i="40"/>
  <c r="G14" i="40"/>
  <c r="G10" i="40"/>
  <c r="U2" i="38"/>
  <c r="U2" i="36"/>
  <c r="Q19" i="54"/>
  <c r="S15" i="54"/>
  <c r="Q12" i="15" s="1"/>
  <c r="Q13" i="52"/>
  <c r="S10" i="52"/>
  <c r="O10" i="15" s="1"/>
  <c r="Q19" i="52"/>
  <c r="S15" i="52"/>
  <c r="O12" i="15" s="1"/>
  <c r="Q19" i="50"/>
  <c r="S15" i="50"/>
  <c r="M12" i="15" s="1"/>
  <c r="Q13" i="50"/>
  <c r="S10" i="50"/>
  <c r="M10" i="15" s="1"/>
  <c r="Q19" i="48"/>
  <c r="K14" i="15"/>
  <c r="L18" i="40"/>
  <c r="L12" i="40"/>
  <c r="L10" i="38"/>
  <c r="J10" i="38"/>
  <c r="J14" i="38"/>
  <c r="L14" i="38"/>
  <c r="L10" i="36"/>
  <c r="J10" i="36"/>
  <c r="J14" i="36"/>
  <c r="L14" i="36"/>
  <c r="AM9" i="33"/>
  <c r="H10" i="34" s="1"/>
  <c r="AK9" i="33"/>
  <c r="Z5" i="14"/>
  <c r="Y6" i="14"/>
  <c r="S19" i="54" l="1"/>
  <c r="S19" i="52"/>
  <c r="S13" i="52"/>
  <c r="S19" i="50"/>
  <c r="S13" i="50"/>
  <c r="S19" i="48"/>
  <c r="AN14" i="33"/>
  <c r="F15" i="34"/>
  <c r="F16" i="34"/>
  <c r="AN16" i="33"/>
  <c r="S10" i="48"/>
  <c r="K10" i="15" s="1"/>
  <c r="Q13" i="48"/>
  <c r="K12" i="46"/>
  <c r="M12" i="46"/>
  <c r="K15" i="40"/>
  <c r="M15" i="40" s="1"/>
  <c r="Q15" i="40" s="1"/>
  <c r="S15" i="40" s="1"/>
  <c r="AA13" i="15" s="1"/>
  <c r="K16" i="40"/>
  <c r="M16" i="40" s="1"/>
  <c r="Q16" i="40" s="1"/>
  <c r="S16" i="40" s="1"/>
  <c r="AA14" i="15" s="1"/>
  <c r="G15" i="38"/>
  <c r="I15" i="38"/>
  <c r="G16" i="38"/>
  <c r="I16" i="38"/>
  <c r="G15" i="36"/>
  <c r="I15" i="36"/>
  <c r="G16" i="36"/>
  <c r="I16" i="36"/>
  <c r="AN12" i="33"/>
  <c r="S10" i="54"/>
  <c r="Q10" i="15" s="1"/>
  <c r="K12" i="42"/>
  <c r="K18" i="46"/>
  <c r="K18" i="44"/>
  <c r="K12" i="44"/>
  <c r="M12" i="44"/>
  <c r="K18" i="42"/>
  <c r="K14" i="40"/>
  <c r="M14" i="40" s="1"/>
  <c r="G12" i="40"/>
  <c r="G18" i="40"/>
  <c r="K10" i="40"/>
  <c r="M10" i="40" s="1"/>
  <c r="I18" i="40"/>
  <c r="I12" i="40"/>
  <c r="G10" i="38"/>
  <c r="G14" i="38"/>
  <c r="I10" i="38"/>
  <c r="I14" i="38"/>
  <c r="I10" i="36"/>
  <c r="I14" i="36"/>
  <c r="G14" i="36"/>
  <c r="G10" i="36"/>
  <c r="H14" i="34"/>
  <c r="Q10" i="46"/>
  <c r="Q12" i="46" s="1"/>
  <c r="Q14" i="46"/>
  <c r="M18" i="46"/>
  <c r="Q14" i="44"/>
  <c r="M18" i="44"/>
  <c r="Q10" i="44"/>
  <c r="Q12" i="44" s="1"/>
  <c r="Q14" i="42"/>
  <c r="M18" i="42"/>
  <c r="Q10" i="42"/>
  <c r="M12" i="42"/>
  <c r="L18" i="38"/>
  <c r="L12" i="38"/>
  <c r="L18" i="36"/>
  <c r="L12" i="36"/>
  <c r="F14" i="34"/>
  <c r="F10" i="34"/>
  <c r="AN9" i="33"/>
  <c r="AA5" i="14"/>
  <c r="Z6" i="14"/>
  <c r="O20" i="15" l="1"/>
  <c r="S13" i="54"/>
  <c r="Q20" i="15"/>
  <c r="M20" i="15"/>
  <c r="S13" i="48"/>
  <c r="J15" i="34"/>
  <c r="L15" i="34"/>
  <c r="L16" i="34"/>
  <c r="J16" i="34"/>
  <c r="K15" i="38"/>
  <c r="M15" i="38" s="1"/>
  <c r="Q15" i="38" s="1"/>
  <c r="S15" i="38" s="1"/>
  <c r="Y13" i="15" s="1"/>
  <c r="K16" i="38"/>
  <c r="M16" i="38" s="1"/>
  <c r="Q16" i="38" s="1"/>
  <c r="S16" i="38" s="1"/>
  <c r="Y14" i="15" s="1"/>
  <c r="K15" i="36"/>
  <c r="M15" i="36" s="1"/>
  <c r="Q15" i="36" s="1"/>
  <c r="S15" i="36" s="1"/>
  <c r="W13" i="15" s="1"/>
  <c r="K16" i="36"/>
  <c r="M16" i="36" s="1"/>
  <c r="Q16" i="36" s="1"/>
  <c r="S16" i="36" s="1"/>
  <c r="W14" i="15" s="1"/>
  <c r="K10" i="36"/>
  <c r="M10" i="36" s="1"/>
  <c r="G12" i="38"/>
  <c r="K12" i="40"/>
  <c r="K18" i="40"/>
  <c r="K10" i="38"/>
  <c r="M10" i="38" s="1"/>
  <c r="K14" i="38"/>
  <c r="M14" i="38" s="1"/>
  <c r="I18" i="38"/>
  <c r="G18" i="38"/>
  <c r="I12" i="38"/>
  <c r="G12" i="36"/>
  <c r="K14" i="36"/>
  <c r="M14" i="36" s="1"/>
  <c r="I12" i="36"/>
  <c r="G18" i="36"/>
  <c r="I18" i="36"/>
  <c r="U2" i="34"/>
  <c r="Q18" i="46"/>
  <c r="S14" i="46"/>
  <c r="S10" i="46"/>
  <c r="S10" i="44"/>
  <c r="AE10" i="15" s="1"/>
  <c r="Q18" i="44"/>
  <c r="S14" i="44"/>
  <c r="AE12" i="15" s="1"/>
  <c r="Q12" i="42"/>
  <c r="S10" i="42"/>
  <c r="AC10" i="15" s="1"/>
  <c r="Q18" i="42"/>
  <c r="S14" i="42"/>
  <c r="AC12" i="15" s="1"/>
  <c r="Q14" i="40"/>
  <c r="M18" i="40"/>
  <c r="Q10" i="40"/>
  <c r="M12" i="40"/>
  <c r="L14" i="34"/>
  <c r="J14" i="34"/>
  <c r="J10" i="34"/>
  <c r="L10" i="34"/>
  <c r="AB5" i="14"/>
  <c r="AA6" i="14"/>
  <c r="S18" i="46" l="1"/>
  <c r="AG12" i="15"/>
  <c r="S12" i="46"/>
  <c r="AG10" i="15"/>
  <c r="S18" i="44"/>
  <c r="S12" i="44"/>
  <c r="S18" i="42"/>
  <c r="S12" i="42"/>
  <c r="K20" i="15"/>
  <c r="G15" i="34"/>
  <c r="I15" i="34"/>
  <c r="G16" i="34"/>
  <c r="I16" i="34"/>
  <c r="I10" i="34"/>
  <c r="K12" i="38"/>
  <c r="I14" i="34"/>
  <c r="G10" i="34"/>
  <c r="G14" i="34"/>
  <c r="K18" i="38"/>
  <c r="K18" i="36"/>
  <c r="K12" i="36"/>
  <c r="L12" i="34"/>
  <c r="L18" i="34"/>
  <c r="Q12" i="40"/>
  <c r="S10" i="40"/>
  <c r="AA10" i="15" s="1"/>
  <c r="Q18" i="40"/>
  <c r="S14" i="40"/>
  <c r="AA12" i="15" s="1"/>
  <c r="Q14" i="38"/>
  <c r="M18" i="38"/>
  <c r="Q10" i="38"/>
  <c r="M12" i="38"/>
  <c r="Q14" i="36"/>
  <c r="M18" i="36"/>
  <c r="Q10" i="36"/>
  <c r="M12" i="36"/>
  <c r="AB6" i="14"/>
  <c r="AC5" i="14"/>
  <c r="AG20" i="15" l="1"/>
  <c r="AE20" i="15"/>
  <c r="AC20" i="15"/>
  <c r="S18" i="40"/>
  <c r="S12" i="40"/>
  <c r="K15" i="34"/>
  <c r="M15" i="34" s="1"/>
  <c r="Q15" i="34" s="1"/>
  <c r="S15" i="34" s="1"/>
  <c r="U13" i="15" s="1"/>
  <c r="K10" i="34"/>
  <c r="M10" i="34" s="1"/>
  <c r="K16" i="34"/>
  <c r="M16" i="34" s="1"/>
  <c r="Q16" i="34" s="1"/>
  <c r="S16" i="34" s="1"/>
  <c r="U14" i="15" s="1"/>
  <c r="G12" i="34"/>
  <c r="K14" i="34"/>
  <c r="M14" i="34" s="1"/>
  <c r="G18" i="34"/>
  <c r="I18" i="34"/>
  <c r="I12" i="34"/>
  <c r="Q12" i="38"/>
  <c r="S10" i="38"/>
  <c r="Y10" i="15" s="1"/>
  <c r="Q18" i="38"/>
  <c r="S14" i="38"/>
  <c r="Y12" i="15" s="1"/>
  <c r="Q12" i="36"/>
  <c r="S10" i="36"/>
  <c r="W10" i="15" s="1"/>
  <c r="Q18" i="36"/>
  <c r="S14" i="36"/>
  <c r="W12" i="15" s="1"/>
  <c r="AC6" i="14"/>
  <c r="AD5" i="14"/>
  <c r="AA20" i="15" l="1"/>
  <c r="S18" i="38"/>
  <c r="S12" i="38"/>
  <c r="S18" i="36"/>
  <c r="S12" i="36"/>
  <c r="K12" i="34"/>
  <c r="M12" i="34"/>
  <c r="M18" i="34"/>
  <c r="K18" i="34"/>
  <c r="Q14" i="34"/>
  <c r="S14" i="34" s="1"/>
  <c r="U12" i="15" s="1"/>
  <c r="Q10" i="34"/>
  <c r="Q12" i="34" s="1"/>
  <c r="AD6" i="14"/>
  <c r="AE5" i="14"/>
  <c r="Y20" i="15" l="1"/>
  <c r="S18" i="34"/>
  <c r="Q18" i="34"/>
  <c r="S10" i="34"/>
  <c r="AF5" i="14"/>
  <c r="AE6" i="14"/>
  <c r="W20" i="15" l="1"/>
  <c r="U10" i="15"/>
  <c r="S12" i="34"/>
  <c r="AF6" i="14"/>
  <c r="AG5" i="14"/>
  <c r="AH5" i="14" l="1"/>
  <c r="AG6" i="14"/>
  <c r="AI5" i="14" l="1"/>
  <c r="AH6" i="14"/>
  <c r="AJ5" i="14" l="1"/>
  <c r="AJ6" i="14" s="1"/>
  <c r="AI6" i="14"/>
  <c r="AM16" i="14" l="1"/>
  <c r="H16" i="16" s="1"/>
  <c r="AK16" i="14"/>
  <c r="AK14" i="14"/>
  <c r="AM14" i="14"/>
  <c r="H15" i="16" s="1"/>
  <c r="AM12" i="14"/>
  <c r="AK12" i="14"/>
  <c r="AK9" i="14"/>
  <c r="F10" i="16" s="1"/>
  <c r="AM9" i="14"/>
  <c r="H10" i="16" s="1"/>
  <c r="F16" i="16" l="1"/>
  <c r="AN16" i="14"/>
  <c r="AN14" i="14"/>
  <c r="F15" i="16"/>
  <c r="AN12" i="14"/>
  <c r="H14" i="16"/>
  <c r="F14" i="16"/>
  <c r="L14" i="16" s="1"/>
  <c r="L10" i="16"/>
  <c r="J10" i="16"/>
  <c r="AN9" i="14"/>
  <c r="J15" i="16" l="1"/>
  <c r="L15" i="16"/>
  <c r="L16" i="16"/>
  <c r="J16" i="16"/>
  <c r="L12" i="16"/>
  <c r="J14" i="16"/>
  <c r="U2" i="16"/>
  <c r="I15" i="16" l="1"/>
  <c r="G15" i="16"/>
  <c r="G16" i="16"/>
  <c r="I16" i="16"/>
  <c r="L18" i="16"/>
  <c r="I10" i="16"/>
  <c r="G10" i="16"/>
  <c r="I14" i="16"/>
  <c r="G14" i="16"/>
  <c r="K15" i="16" l="1"/>
  <c r="M15" i="16" s="1"/>
  <c r="Q15" i="16" s="1"/>
  <c r="S15" i="16" s="1"/>
  <c r="K16" i="16"/>
  <c r="M16" i="16" s="1"/>
  <c r="Q16" i="16" s="1"/>
  <c r="S16" i="16" s="1"/>
  <c r="I18" i="16"/>
  <c r="G12" i="16"/>
  <c r="K10" i="16"/>
  <c r="I12" i="16"/>
  <c r="K14" i="16"/>
  <c r="G18" i="16"/>
  <c r="S14" i="15" l="1"/>
  <c r="AH14" i="15" s="1"/>
  <c r="S13" i="15"/>
  <c r="AH13" i="15" s="1"/>
  <c r="M10" i="16"/>
  <c r="K12" i="16"/>
  <c r="M14" i="16"/>
  <c r="K18" i="16"/>
  <c r="M18" i="16" l="1"/>
  <c r="Q14" i="16"/>
  <c r="M12" i="16"/>
  <c r="Q10" i="16"/>
  <c r="S10" i="16" l="1"/>
  <c r="Q12" i="16"/>
  <c r="Q18" i="16"/>
  <c r="S14" i="16"/>
  <c r="S12" i="15" s="1"/>
  <c r="U20" i="15" l="1"/>
  <c r="S10" i="15"/>
  <c r="S18" i="16"/>
  <c r="AH12" i="15"/>
  <c r="S12" i="16"/>
  <c r="S20" i="15" l="1"/>
  <c r="AH20" i="15" s="1"/>
  <c r="AH10" i="15"/>
</calcChain>
</file>

<file path=xl/sharedStrings.xml><?xml version="1.0" encoding="utf-8"?>
<sst xmlns="http://schemas.openxmlformats.org/spreadsheetml/2006/main" count="1086" uniqueCount="115">
  <si>
    <t>Ghi chú</t>
  </si>
  <si>
    <t>Họ và Tên</t>
  </si>
  <si>
    <t>Chức Vụ</t>
  </si>
  <si>
    <t>Mã NV</t>
  </si>
  <si>
    <t>Thu nhập theo ngày công</t>
  </si>
  <si>
    <t>Tổng thu nhập</t>
  </si>
  <si>
    <t>Các Khoản Khấu Trừ</t>
  </si>
  <si>
    <t>Còn Lại</t>
  </si>
  <si>
    <t>Tạm Ứng</t>
  </si>
  <si>
    <t>Thực Lãnh</t>
  </si>
  <si>
    <t>Ký Nhận</t>
  </si>
  <si>
    <t>Ghi Chú</t>
  </si>
  <si>
    <t>BHXH</t>
  </si>
  <si>
    <t>BHYT</t>
  </si>
  <si>
    <t>Lập biểu</t>
  </si>
  <si>
    <t>Cộng (Giờ)</t>
  </si>
  <si>
    <t>BT</t>
  </si>
  <si>
    <t>CN</t>
  </si>
  <si>
    <t>thành tiền</t>
  </si>
  <si>
    <t>STT</t>
  </si>
  <si>
    <t>MNV</t>
  </si>
  <si>
    <t>Giám đốc</t>
  </si>
  <si>
    <t>Tạm ứng</t>
  </si>
  <si>
    <t>TỔNG CỘNG</t>
  </si>
  <si>
    <t>Thu nhập ngày công</t>
  </si>
  <si>
    <t>Tổng ngày công</t>
  </si>
  <si>
    <t>Stt</t>
  </si>
  <si>
    <t>Chức
vụ</t>
  </si>
  <si>
    <t>Giờ công</t>
  </si>
  <si>
    <t>TC</t>
  </si>
  <si>
    <t>BT,CN</t>
  </si>
  <si>
    <t>BHTN</t>
  </si>
  <si>
    <t>CẬP NHẬT THÔNG TIN NGƯỜI LAO ĐỘNG  HÀNG THÁNG</t>
  </si>
  <si>
    <t>Ngày trong tháng</t>
  </si>
  <si>
    <t>Số ngày</t>
  </si>
  <si>
    <t>Ngày lễ</t>
  </si>
  <si>
    <t>Nghỉ việc riêng có lương</t>
  </si>
  <si>
    <t>Nghỉ không lương</t>
  </si>
  <si>
    <t>Nghỉ phép năm</t>
  </si>
  <si>
    <t>Tổng công thực tế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</si>
  <si>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</si>
  <si>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</si>
  <si>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</si>
  <si>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</si>
  <si>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</si>
  <si>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</si>
  <si>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</si>
  <si>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</si>
  <si>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</si>
  <si>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Lương căn bản</t>
  </si>
  <si>
    <t>Cơm</t>
  </si>
  <si>
    <t>Ngày công
trong tháng</t>
  </si>
  <si>
    <t>Ngày công hành chính</t>
  </si>
  <si>
    <t>Người lập biểu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</si>
  <si>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</si>
  <si>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</si>
  <si>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</si>
  <si>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</si>
  <si>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</si>
  <si>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</si>
  <si>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</si>
  <si>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</si>
  <si>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</si>
  <si>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</si>
  <si>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</si>
  <si>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</si>
  <si>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SLĐ</t>
  </si>
  <si>
    <t>TL - Chi</t>
  </si>
  <si>
    <t>I</t>
  </si>
  <si>
    <t>II</t>
  </si>
  <si>
    <t>BP: Thành Phẩm:</t>
  </si>
  <si>
    <t>Tăng ca &amp; CN</t>
  </si>
  <si>
    <t>2016</t>
  </si>
  <si>
    <t>BP: Công Nhân:</t>
  </si>
  <si>
    <t>QL01</t>
  </si>
  <si>
    <t>CN01</t>
  </si>
  <si>
    <t>CN02</t>
  </si>
  <si>
    <t>CN03</t>
  </si>
  <si>
    <t>BP: Quản lý :</t>
  </si>
  <si>
    <t>BP: Quản lý &amp; CN Trực Tiếp SX</t>
  </si>
  <si>
    <t>BP: Quản lý:</t>
  </si>
  <si>
    <t>Công Đoạn 1</t>
  </si>
  <si>
    <t>Lê Văn Hữu</t>
  </si>
  <si>
    <t>Công Đoạn 2</t>
  </si>
  <si>
    <t>Thông tin cá nhân</t>
  </si>
  <si>
    <t>MST</t>
  </si>
  <si>
    <t>CMND</t>
  </si>
  <si>
    <t>Văn Phòng</t>
  </si>
  <si>
    <t>Lý Thanh Hải</t>
  </si>
  <si>
    <t>8096752605</t>
  </si>
  <si>
    <t>365598783</t>
  </si>
  <si>
    <t>8267360022</t>
  </si>
  <si>
    <t>260747892</t>
  </si>
  <si>
    <t>TL</t>
  </si>
  <si>
    <t>BH</t>
  </si>
  <si>
    <t>Tổng TL</t>
  </si>
  <si>
    <t>TQL-BHXH</t>
  </si>
  <si>
    <t>Công Ty TNHH Bao Bì Giấy Kim Dung Phát</t>
  </si>
  <si>
    <t>Địa chỉ: ấp Rừng Sến - Xã Mỹ Hạnh Bắc - Huyện Đức Hoà - Long An</t>
  </si>
  <si>
    <t>MST:1101819710 (Ngày DKT ban đầu: 27/04/2016)</t>
  </si>
  <si>
    <t>Nguyễn Thị Kim Quyên</t>
  </si>
  <si>
    <t>8307197294</t>
  </si>
  <si>
    <t>301393905</t>
  </si>
  <si>
    <t>Cao Minh Chí</t>
  </si>
  <si>
    <t>8323318933</t>
  </si>
  <si>
    <t>300640503</t>
  </si>
  <si>
    <t>CN04</t>
  </si>
  <si>
    <t>Nguyễn Thị Sự</t>
  </si>
  <si>
    <t>8335551282</t>
  </si>
  <si>
    <t>245082561</t>
  </si>
  <si>
    <t>Đinh Hoàng Lợi</t>
  </si>
  <si>
    <t>Tài xế</t>
  </si>
  <si>
    <t>8012601553</t>
  </si>
  <si>
    <t>301186169</t>
  </si>
  <si>
    <t>QL02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</si>
</sst>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9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_(* #,##0.0_);_(* \(#,##0.0\);_(* &quot;-&quot;??_);_(@_)"/>
    <numFmt numFmtId="169" formatCode="_(* #,##0_);_(* \(#,##0\);_(* &quot;-&quot;??_);_(@_)"/>
    <numFmt numFmtId="170" formatCode="0.000"/>
    <numFmt numFmtId="171" formatCode="_(* #,##0.000_);_(* \(#,##0.000\);_(* &quot;-&quot;??_);_(@_)"/>
    <numFmt numFmtId="172" formatCode="_(* #,##0.0000_);_(* \(#,##0.0000\);_(* &quot;-&quot;??_);_(@_)"/>
    <numFmt numFmtId="173" formatCode="&quot;C&quot;#,##0_);[Red]\(&quot;C&quot;#,##0\)"/>
    <numFmt numFmtId="174" formatCode="0##,###.00"/>
    <numFmt numFmtId="175" formatCode="&quot;\&quot;#,##0;[Red]&quot;\&quot;\-#,##0"/>
    <numFmt numFmtId="176" formatCode="&quot;\&quot;#,##0.00;[Red]&quot;\&quot;\-#,##0.00"/>
    <numFmt numFmtId="177" formatCode="#,##0\ &quot;$&quot;_);[Red]\(#,##0\ &quot;$&quot;\)"/>
    <numFmt numFmtId="178" formatCode="&quot;$&quot;###,0&quot;.&quot;00_);[Red]\(&quot;$&quot;###,0&quot;.&quot;00\)"/>
    <numFmt numFmtId="179" formatCode="_-* #,##0\ _k_r_-;\-* #,##0\ _k_r_-;_-* &quot;-&quot;\ _k_r_-;_-@_-"/>
    <numFmt numFmtId="180" formatCode="m/d"/>
    <numFmt numFmtId="181" formatCode="00.000"/>
    <numFmt numFmtId="182" formatCode="_-&quot;£&quot;* #,##0_-;\-&quot;£&quot;* #,##0_-;_-&quot;£&quot;* &quot;-&quot;_-;_-@_-"/>
    <numFmt numFmtId="183" formatCode="_-&quot;£&quot;* #,##0.00_-;\-&quot;£&quot;* #,##0.00_-;_-&quot;£&quot;* &quot;-&quot;??_-;_-@_-"/>
    <numFmt numFmtId="184" formatCode="#,##0\ &quot;F&quot;;[Red]\-#,##0\ &quot;F&quot;"/>
    <numFmt numFmtId="185" formatCode="#,##0.00\ &quot;F&quot;;\-#,##0.00\ &quot;F&quot;"/>
    <numFmt numFmtId="186" formatCode="#,##0.00\ &quot;F&quot;;[Red]\-#,##0.00\ &quot;F&quot;"/>
    <numFmt numFmtId="187" formatCode="_-* #,##0\ &quot;F&quot;_-;\-* #,##0\ &quot;F&quot;_-;_-* &quot;-&quot;\ &quot;F&quot;_-;_-@_-"/>
    <numFmt numFmtId="188" formatCode="&quot;ß&quot;#,##0;\-&quot;&quot;\ß&quot;&quot;#,##0"/>
    <numFmt numFmtId="189" formatCode="\t0.00%"/>
    <numFmt numFmtId="190" formatCode="\t#\ ??/??"/>
    <numFmt numFmtId="191" formatCode="#,##0;\(#,##0\)"/>
    <numFmt numFmtId="192" formatCode="&quot;?&quot;#,##0;&quot;?&quot;\-#,##0"/>
    <numFmt numFmtId="193" formatCode="##,###.##"/>
    <numFmt numFmtId="194" formatCode="##.##%"/>
    <numFmt numFmtId="195" formatCode="##,##0.##"/>
    <numFmt numFmtId="196" formatCode="#0.##"/>
    <numFmt numFmtId="197" formatCode="##,###.####"/>
    <numFmt numFmtId="198" formatCode="###.###"/>
    <numFmt numFmtId="199" formatCode="###,###"/>
    <numFmt numFmtId="200" formatCode="#,###%"/>
    <numFmt numFmtId="201" formatCode="##,##0%"/>
    <numFmt numFmtId="202" formatCode="##.##"/>
    <numFmt numFmtId="203" formatCode="_-* #,##0\ _F_-;\-* #,##0\ _F_-;_-* &quot;-&quot;\ _F_-;_-@_-"/>
    <numFmt numFmtId="204" formatCode="_-* #,##0.00\ &quot;F&quot;_-;\-* #,##0.00\ &quot;F&quot;_-;_-* &quot;-&quot;??\ &quot;F&quot;_-;_-@_-"/>
    <numFmt numFmtId="205" formatCode="_-* #,##0.00\ _F_-;\-* #,##0.00\ _F_-;_-* &quot;-&quot;??\ _F_-;_-@_-"/>
    <numFmt numFmtId="206" formatCode="_-* #,##0\ _V_N_D_-;\-* #,##0\ _V_N_D_-;_-* &quot;-&quot;\ _V_N_D_-;_-@_-"/>
    <numFmt numFmtId="207" formatCode="_-* #,##0.00\ _V_N_D_-;\-* #,##0.00\ _V_N_D_-;_-* &quot;-&quot;??\ _V_N_D_-;_-@_-"/>
    <numFmt numFmtId="208" formatCode="_ * #,##0_ ;_ * &quot;\&quot;&quot;\&quot;&quot;\&quot;&quot;\&quot;&quot;\&quot;&quot;\&quot;&quot;\&quot;&quot;\&quot;&quot;\&quot;&quot;\&quot;&quot;\&quot;&quot;\&quot;\-#,##0_ ;_ * &quot;-&quot;_ ;_ @_ "/>
    <numFmt numFmtId="209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10" formatCode="_ * #,##0.00_ ;_ * &quot;\&quot;&quot;\&quot;&quot;\&quot;&quot;\&quot;&quot;\&quot;&quot;\&quot;&quot;\&quot;&quot;\&quot;&quot;\&quot;&quot;\&quot;&quot;\&quot;&quot;\&quot;\-#,##0.00_ ;_ * &quot;-&quot;??_ ;_ @_ "/>
    <numFmt numFmtId="211" formatCode="&quot;\&quot;#,##0;&quot;\&quot;&quot;\&quot;&quot;\&quot;&quot;\&quot;&quot;\&quot;&quot;\&quot;&quot;\&quot;&quot;\&quot;&quot;\&quot;&quot;\&quot;&quot;\&quot;&quot;\&quot;&quot;\&quot;&quot;\&quot;\-#,##0"/>
    <numFmt numFmtId="212" formatCode="&quot;\&quot;#,##0;[Red]&quot;\&quot;&quot;\&quot;&quot;\&quot;&quot;\&quot;&quot;\&quot;&quot;\&quot;&quot;\&quot;&quot;\&quot;&quot;\&quot;&quot;\&quot;&quot;\&quot;&quot;\&quot;&quot;\&quot;&quot;\&quot;\-#,##0"/>
    <numFmt numFmtId="213" formatCode="&quot;\&quot;#,##0.00;&quot;\&quot;&quot;\&quot;&quot;\&quot;&quot;\&quot;&quot;\&quot;&quot;\&quot;&quot;\&quot;&quot;\&quot;&quot;\&quot;&quot;\&quot;&quot;\&quot;&quot;\&quot;&quot;\&quot;&quot;\&quot;\-#,##0.00"/>
    <numFmt numFmtId="214" formatCode="&quot;\&quot;#,##0.00;[Red]&quot;\&quot;&quot;\&quot;&quot;\&quot;&quot;\&quot;&quot;\&quot;&quot;\&quot;&quot;\&quot;&quot;\&quot;&quot;\&quot;&quot;\&quot;&quot;\&quot;&quot;\&quot;&quot;\&quot;&quot;\&quot;\-#,##0.00"/>
    <numFmt numFmtId="215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16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17" formatCode="m\o\n\th\ \D\,\ \y\y\y\y"/>
    <numFmt numFmtId="218" formatCode="_ * #,##0_ ;_ * \-#,##0_ ;_ * &quot;-&quot;_ ;_ @_ "/>
    <numFmt numFmtId="219" formatCode="_ * #,##0.00_ ;_ * \-#,##0.00_ ;_ * &quot;-&quot;??_ ;_ @_ "/>
    <numFmt numFmtId="220" formatCode="_-* #,##0\ &quot;$&quot;_-;\-* #,##0\ &quot;$&quot;_-;_-* &quot;-&quot;\ &quot;$&quot;_-;_-@_-"/>
    <numFmt numFmtId="221" formatCode="_-* #,##0\ _$_-;\-* #,##0\ _$_-;_-* &quot;-&quot;\ _$_-;_-@_-"/>
    <numFmt numFmtId="222" formatCode="_ &quot;\&quot;* #,##0.00_ ;_ &quot;\&quot;* \-#,##0.00_ ;_ &quot;\&quot;* &quot;-&quot;??_ ;_ @_ "/>
    <numFmt numFmtId="223" formatCode="_(&quot;$&quot;\ * #,##0_);_(&quot;$&quot;\ * \(#,##0\);_(&quot;$&quot;\ * &quot;-&quot;_);_(@_)"/>
    <numFmt numFmtId="224" formatCode="_-* #,##0\ &quot;ñ&quot;_-;\-* #,##0\ &quot;ñ&quot;_-;_-* &quot;-&quot;\ &quot;ñ&quot;_-;_-@_-"/>
    <numFmt numFmtId="225" formatCode="_-* #,##0\ _ñ_-;\-* #,##0\ _ñ_-;_-* &quot;-&quot;\ _ñ_-;_-@_-"/>
    <numFmt numFmtId="226" formatCode="_-* #,##0.00\ _ñ_-;\-* #,##0.00\ _ñ_-;_-* &quot;-&quot;??\ _ñ_-;_-@_-"/>
    <numFmt numFmtId="227" formatCode="_-&quot;ñ&quot;* #,##0_-;\-&quot;ñ&quot;* #,##0_-;_-&quot;ñ&quot;* &quot;-&quot;_-;_-@_-"/>
    <numFmt numFmtId="228" formatCode="&quot;SFr.&quot;\ #,##0.00;[Red]&quot;SFr.&quot;\ \-#,##0.00"/>
    <numFmt numFmtId="229" formatCode="_ &quot;SFr.&quot;\ * #,##0_ ;_ &quot;SFr.&quot;\ * \-#,##0_ ;_ &quot;SFr.&quot;\ * &quot;-&quot;_ ;_ @_ "/>
    <numFmt numFmtId="230" formatCode="_-* #,##0_-;&quot;\&quot;\!\-* #,##0_-;_-* &quot;-&quot;_-;_-@_-"/>
    <numFmt numFmtId="231" formatCode="_-* #,##0.00\ _k_r_._-;\-* #,##0.00\ _k_r_._-;_-* &quot;-&quot;??\ _k_r_._-;_-@_-"/>
    <numFmt numFmtId="232" formatCode="#,##0.00\ \ "/>
    <numFmt numFmtId="233" formatCode="_ * #,##0_ ;_ * \-#,##0_ ;_ * &quot;-&quot;??_ ;_ @_ "/>
    <numFmt numFmtId="234" formatCode="_-* #,##0\ &quot;€&quot;_-;\-* #,##0\ &quot;€&quot;_-;_-* &quot;-&quot;\ &quot;€&quot;_-;_-@_-"/>
    <numFmt numFmtId="235" formatCode="_-* #,##0.00\ &quot;€&quot;_-;\-* #,##0.00\ &quot;€&quot;_-;_-* &quot;-&quot;??\ &quot;€&quot;_-;_-@_-"/>
    <numFmt numFmtId="236" formatCode="dd"/>
    <numFmt numFmtId="237" formatCode="0.0"/>
    <numFmt numFmtId="238" formatCode="#,##0.0_);\(#,##0.0\)"/>
  </numFmts>
  <fonts count="123">
    <font>
      <sz val="10"/>
      <name val="Arial"/>
    </font>
    <font>
      <sz val="10"/>
      <name val="Arial"/>
      <family val="2"/>
    </font>
    <font>
      <sz val="10"/>
      <name val=".VnTime"/>
      <family val="2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0"/>
      <name val="VNI-Times"/>
    </font>
    <font>
      <sz val="12"/>
      <name val="???"/>
    </font>
    <font>
      <sz val="12"/>
      <name val="바탕체"/>
      <family val="1"/>
      <charset val="129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2"/>
      <name val="VNI-Times"/>
    </font>
    <font>
      <sz val="10"/>
      <name val="Helv"/>
    </font>
    <font>
      <sz val="10"/>
      <name val="Arial"/>
      <family val="2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1"/>
      <color indexed="20"/>
      <name val="Calibri"/>
      <family val="2"/>
    </font>
    <font>
      <sz val="12"/>
      <name val="Tms Rmn"/>
    </font>
    <font>
      <sz val="10"/>
      <name val="Times New Roman"/>
      <family val="1"/>
    </font>
    <font>
      <sz val="11"/>
      <name val="µ¸¿ò"/>
      <charset val="129"/>
    </font>
    <font>
      <b/>
      <sz val="11"/>
      <color indexed="52"/>
      <name val="Calibri"/>
      <family val="2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8"/>
      <name val="SVNtimes new roman"/>
      <family val="2"/>
    </font>
    <font>
      <b/>
      <sz val="11"/>
      <color indexed="9"/>
      <name val="Calibri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0"/>
      <name val="VNtimes new roman"/>
      <family val="2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.VnTimeH"/>
      <family val="2"/>
    </font>
    <font>
      <sz val="12"/>
      <name val="NTTimes/Cyrillic"/>
    </font>
    <font>
      <sz val="11"/>
      <color indexed="62"/>
      <name val="Calibri"/>
      <family val="2"/>
    </font>
    <font>
      <sz val="10"/>
      <name val="VNI-Helve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1"/>
      <color indexed="52"/>
      <name val="Calibri"/>
      <family val="2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2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13"/>
      <name val=".VnTime"/>
      <family val="2"/>
    </font>
    <font>
      <sz val="13"/>
      <name val=".VnTime"/>
      <family val="2"/>
    </font>
    <font>
      <sz val="12"/>
      <name val=".VnTime"/>
      <family val="2"/>
    </font>
    <font>
      <b/>
      <sz val="12"/>
      <name val=".VnTime"/>
      <family val="2"/>
    </font>
    <font>
      <b/>
      <sz val="11"/>
      <name val="Times New Roman"/>
      <family val="1"/>
    </font>
    <font>
      <sz val="10"/>
      <name val=".VnArial Narrow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8"/>
      <name val="VN Helvetica"/>
    </font>
    <font>
      <sz val="11"/>
      <color indexed="10"/>
      <name val="Calibri"/>
      <family val="2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9"/>
      <name val="Arial"/>
      <family val="2"/>
    </font>
    <font>
      <sz val="10"/>
      <name val="굴림체"/>
      <family val="3"/>
      <charset val="129"/>
    </font>
    <font>
      <sz val="10"/>
      <name val=".VnArial"/>
      <family val="1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9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6"/>
      <name val="Times New Roman"/>
      <family val="1"/>
    </font>
    <font>
      <b/>
      <sz val="22"/>
      <name val="Times New Roman"/>
      <family val="1"/>
    </font>
    <font>
      <b/>
      <sz val="18"/>
      <name val="Times New Roman"/>
      <family val="1"/>
    </font>
    <font>
      <b/>
      <i/>
      <sz val="14"/>
      <name val="Times New Roman"/>
      <family val="1"/>
    </font>
    <font>
      <sz val="10"/>
      <name val=".VnTime"/>
      <family val="2"/>
    </font>
    <font>
      <sz val="12"/>
      <color indexed="9"/>
      <name val="Times New Roman"/>
      <family val="1"/>
    </font>
    <font>
      <sz val="9"/>
      <color indexed="10"/>
      <name val="Times New Roman"/>
      <family val="1"/>
    </font>
    <font>
      <sz val="22"/>
      <name val="Times New Roman"/>
      <family val="1"/>
    </font>
    <font>
      <sz val="10"/>
      <color indexed="9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rgb="FFFF0000"/>
      <name val="Times New Roman"/>
      <family val="1"/>
    </font>
    <font>
      <sz val="12"/>
      <color theme="0"/>
      <name val="Times New Roman"/>
      <family val="1"/>
    </font>
    <font>
      <sz val="11"/>
      <color rgb="FFFF0000"/>
      <name val="Times New Roman"/>
      <family val="1"/>
    </font>
    <font>
      <b/>
      <sz val="9"/>
      <color theme="0"/>
      <name val="Times New Roman"/>
      <family val="1"/>
    </font>
    <font>
      <sz val="10"/>
      <color rgb="FF0000FF"/>
      <name val="Times New Roman"/>
      <family val="1"/>
    </font>
    <font>
      <sz val="11"/>
      <color rgb="FF0000FF"/>
      <name val="Times New Roman"/>
      <family val="1"/>
    </font>
    <font>
      <sz val="8"/>
      <color rgb="FF000000"/>
      <name val="Verdana"/>
      <family val="2"/>
    </font>
    <font>
      <b/>
      <sz val="10"/>
      <color rgb="FF000000"/>
      <name val="Times New Roman"/>
      <family val="1"/>
    </font>
  </fonts>
  <fills count="3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EFEFEF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07">
    <xf numFmtId="0" fontId="0" fillId="0" borderId="0"/>
    <xf numFmtId="227" fontId="15" fillId="0" borderId="0" applyFont="0" applyFill="0" applyBorder="0" applyAlignment="0" applyProtection="0"/>
    <xf numFmtId="194" fontId="3" fillId="0" borderId="1">
      <alignment horizontal="center"/>
      <protection hidden="1"/>
    </xf>
    <xf numFmtId="0" fontId="4" fillId="0" borderId="2" applyNumberFormat="0"/>
    <xf numFmtId="181" fontId="5" fillId="0" borderId="0" applyFont="0" applyFill="0" applyBorder="0" applyAlignment="0" applyProtection="0"/>
    <xf numFmtId="203" fontId="6" fillId="0" borderId="0" applyFont="0" applyFill="0" applyBorder="0" applyAlignment="0" applyProtection="0"/>
    <xf numFmtId="192" fontId="5" fillId="0" borderId="0" applyFont="0" applyFill="0" applyBorder="0" applyAlignment="0" applyProtection="0"/>
    <xf numFmtId="0" fontId="9" fillId="0" borderId="0"/>
    <xf numFmtId="219" fontId="10" fillId="0" borderId="0" applyFont="0" applyFill="0" applyBorder="0" applyAlignment="0" applyProtection="0"/>
    <xf numFmtId="218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4" fillId="0" borderId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6" fillId="0" borderId="0"/>
    <xf numFmtId="220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17" fillId="0" borderId="0"/>
    <xf numFmtId="0" fontId="4" fillId="0" borderId="2"/>
    <xf numFmtId="0" fontId="4" fillId="0" borderId="2"/>
    <xf numFmtId="0" fontId="18" fillId="2" borderId="0"/>
    <xf numFmtId="9" fontId="19" fillId="0" borderId="0" applyBorder="0" applyAlignment="0" applyProtection="0"/>
    <xf numFmtId="0" fontId="20" fillId="2" borderId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2" borderId="0"/>
    <xf numFmtId="0" fontId="23" fillId="0" borderId="0">
      <alignment wrapText="1"/>
    </xf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6" borderId="0" applyNumberFormat="0" applyBorder="0" applyAlignment="0" applyProtection="0"/>
    <xf numFmtId="0" fontId="21" fillId="9" borderId="0" applyNumberFormat="0" applyBorder="0" applyAlignment="0" applyProtection="0"/>
    <xf numFmtId="0" fontId="21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5" fillId="0" borderId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20" borderId="0" applyNumberFormat="0" applyBorder="0" applyAlignment="0" applyProtection="0"/>
    <xf numFmtId="228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9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2" fontId="27" fillId="0" borderId="0" applyFont="0" applyFill="0" applyBorder="0" applyAlignment="0" applyProtection="0"/>
    <xf numFmtId="218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8" fontId="27" fillId="0" borderId="0" applyFont="0" applyFill="0" applyBorder="0" applyAlignment="0" applyProtection="0"/>
    <xf numFmtId="219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9" fontId="27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28" fillId="4" borderId="0" applyNumberFormat="0" applyBorder="0" applyAlignment="0" applyProtection="0"/>
    <xf numFmtId="0" fontId="29" fillId="0" borderId="0" applyNumberFormat="0" applyFill="0" applyBorder="0" applyAlignment="0" applyProtection="0"/>
    <xf numFmtId="0" fontId="26" fillId="0" borderId="0"/>
    <xf numFmtId="0" fontId="30" fillId="0" borderId="0"/>
    <xf numFmtId="0" fontId="26" fillId="0" borderId="0"/>
    <xf numFmtId="0" fontId="31" fillId="0" borderId="0"/>
    <xf numFmtId="208" fontId="1" fillId="0" borderId="0" applyFill="0" applyBorder="0" applyAlignment="0"/>
    <xf numFmtId="209" fontId="1" fillId="0" borderId="0" applyFill="0" applyBorder="0" applyAlignment="0"/>
    <xf numFmtId="210" fontId="1" fillId="0" borderId="0" applyFill="0" applyBorder="0" applyAlignment="0"/>
    <xf numFmtId="211" fontId="1" fillId="0" borderId="0" applyFill="0" applyBorder="0" applyAlignment="0"/>
    <xf numFmtId="212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32" fillId="21" borderId="3" applyNumberFormat="0" applyAlignment="0" applyProtection="0"/>
    <xf numFmtId="0" fontId="33" fillId="0" borderId="0"/>
    <xf numFmtId="193" fontId="34" fillId="0" borderId="4" applyBorder="0"/>
    <xf numFmtId="193" fontId="35" fillId="0" borderId="2">
      <protection locked="0"/>
    </xf>
    <xf numFmtId="204" fontId="6" fillId="0" borderId="0" applyFont="0" applyFill="0" applyBorder="0" applyAlignment="0" applyProtection="0"/>
    <xf numFmtId="196" fontId="36" fillId="0" borderId="2"/>
    <xf numFmtId="0" fontId="37" fillId="22" borderId="5" applyNumberFormat="0" applyAlignment="0" applyProtection="0"/>
    <xf numFmtId="43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179" fontId="1" fillId="0" borderId="0" applyFont="0" applyFill="0" applyBorder="0" applyProtection="0"/>
    <xf numFmtId="179" fontId="1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1" fontId="30" fillId="0" borderId="0"/>
    <xf numFmtId="3" fontId="17" fillId="0" borderId="0" applyFont="0" applyFill="0" applyBorder="0" applyAlignment="0" applyProtection="0"/>
    <xf numFmtId="201" fontId="38" fillId="0" borderId="0">
      <protection locked="0"/>
    </xf>
    <xf numFmtId="200" fontId="38" fillId="0" borderId="0">
      <protection locked="0"/>
    </xf>
    <xf numFmtId="202" fontId="39" fillId="0" borderId="6">
      <protection locked="0"/>
    </xf>
    <xf numFmtId="199" fontId="38" fillId="0" borderId="0">
      <protection locked="0"/>
    </xf>
    <xf numFmtId="198" fontId="38" fillId="0" borderId="0">
      <protection locked="0"/>
    </xf>
    <xf numFmtId="199" fontId="38" fillId="0" borderId="0" applyNumberFormat="0">
      <protection locked="0"/>
    </xf>
    <xf numFmtId="199" fontId="38" fillId="0" borderId="0">
      <protection locked="0"/>
    </xf>
    <xf numFmtId="193" fontId="40" fillId="0" borderId="1"/>
    <xf numFmtId="197" fontId="40" fillId="0" borderId="1"/>
    <xf numFmtId="209" fontId="1" fillId="0" borderId="0" applyFont="0" applyFill="0" applyBorder="0" applyAlignment="0" applyProtection="0"/>
    <xf numFmtId="173" fontId="41" fillId="0" borderId="0" applyFont="0" applyFill="0" applyBorder="0" applyAlignment="0" applyProtection="0"/>
    <xf numFmtId="189" fontId="1" fillId="0" borderId="0"/>
    <xf numFmtId="193" fontId="3" fillId="0" borderId="1">
      <alignment horizontal="center"/>
      <protection hidden="1"/>
    </xf>
    <xf numFmtId="218" fontId="7" fillId="0" borderId="0" applyFont="0" applyFill="0" applyBorder="0" applyAlignment="0" applyProtection="0"/>
    <xf numFmtId="218" fontId="8" fillId="0" borderId="0" applyFont="0" applyFill="0" applyBorder="0" applyAlignment="0" applyProtection="0"/>
    <xf numFmtId="195" fontId="42" fillId="0" borderId="1">
      <alignment horizontal="center"/>
      <protection hidden="1"/>
    </xf>
    <xf numFmtId="2" fontId="3" fillId="0" borderId="1">
      <alignment horizontal="center"/>
      <protection hidden="1"/>
    </xf>
    <xf numFmtId="0" fontId="17" fillId="0" borderId="0" applyFont="0" applyFill="0" applyBorder="0" applyAlignment="0" applyProtection="0"/>
    <xf numFmtId="14" fontId="43" fillId="0" borderId="0" applyFill="0" applyBorder="0" applyAlignment="0"/>
    <xf numFmtId="217" fontId="44" fillId="0" borderId="0">
      <protection locked="0"/>
    </xf>
    <xf numFmtId="171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90" fontId="1" fillId="0" borderId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45" fillId="0" borderId="0" applyNumberFormat="0" applyFill="0" applyBorder="0" applyAlignment="0" applyProtection="0"/>
    <xf numFmtId="2" fontId="17" fillId="0" borderId="0" applyFont="0" applyFill="0" applyBorder="0" applyAlignment="0" applyProtection="0"/>
    <xf numFmtId="0" fontId="46" fillId="5" borderId="0" applyNumberFormat="0" applyBorder="0" applyAlignment="0" applyProtection="0"/>
    <xf numFmtId="38" fontId="47" fillId="2" borderId="0" applyNumberFormat="0" applyBorder="0" applyAlignment="0" applyProtection="0"/>
    <xf numFmtId="0" fontId="48" fillId="0" borderId="0">
      <alignment horizontal="left"/>
    </xf>
    <xf numFmtId="0" fontId="49" fillId="0" borderId="7" applyNumberFormat="0" applyAlignment="0" applyProtection="0">
      <alignment horizontal="left" vertical="center"/>
    </xf>
    <xf numFmtId="0" fontId="49" fillId="0" borderId="8">
      <alignment horizontal="left" vertical="center"/>
    </xf>
    <xf numFmtId="0" fontId="50" fillId="0" borderId="9" applyNumberFormat="0" applyFill="0" applyAlignment="0" applyProtection="0"/>
    <xf numFmtId="0" fontId="51" fillId="0" borderId="10" applyNumberFormat="0" applyFill="0" applyAlignment="0" applyProtection="0"/>
    <xf numFmtId="0" fontId="52" fillId="0" borderId="11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0" applyProtection="0"/>
    <xf numFmtId="0" fontId="54" fillId="0" borderId="0" applyProtection="0"/>
    <xf numFmtId="49" fontId="55" fillId="0" borderId="12">
      <alignment vertical="center"/>
    </xf>
    <xf numFmtId="225" fontId="6" fillId="0" borderId="0" applyFont="0" applyFill="0" applyBorder="0" applyAlignment="0" applyProtection="0"/>
    <xf numFmtId="0" fontId="56" fillId="0" borderId="0"/>
    <xf numFmtId="0" fontId="57" fillId="8" borderId="3" applyNumberFormat="0" applyAlignment="0" applyProtection="0"/>
    <xf numFmtId="10" fontId="47" fillId="23" borderId="12" applyNumberFormat="0" applyBorder="0" applyAlignment="0" applyProtection="0"/>
    <xf numFmtId="2" fontId="58" fillId="0" borderId="13" applyBorder="0"/>
    <xf numFmtId="0" fontId="59" fillId="0" borderId="0"/>
    <xf numFmtId="2" fontId="60" fillId="0" borderId="14" applyBorder="0"/>
    <xf numFmtId="2" fontId="61" fillId="0" borderId="0" applyNumberFormat="0" applyFill="0">
      <alignment horizontal="center"/>
    </xf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62" fillId="0" borderId="15" applyNumberFormat="0" applyFill="0" applyAlignment="0" applyProtection="0"/>
    <xf numFmtId="193" fontId="47" fillId="0" borderId="4" applyFont="0"/>
    <xf numFmtId="3" fontId="1" fillId="0" borderId="16"/>
    <xf numFmtId="38" fontId="63" fillId="0" borderId="0" applyFont="0" applyFill="0" applyBorder="0" applyAlignment="0" applyProtection="0"/>
    <xf numFmtId="40" fontId="63" fillId="0" borderId="0" applyFont="0" applyFill="0" applyBorder="0" applyAlignment="0" applyProtection="0"/>
    <xf numFmtId="0" fontId="64" fillId="0" borderId="2"/>
    <xf numFmtId="0" fontId="65" fillId="0" borderId="17"/>
    <xf numFmtId="177" fontId="63" fillId="0" borderId="0" applyFont="0" applyFill="0" applyBorder="0" applyAlignment="0" applyProtection="0"/>
    <xf numFmtId="178" fontId="63" fillId="0" borderId="0" applyFont="0" applyFill="0" applyBorder="0" applyAlignment="0" applyProtection="0"/>
    <xf numFmtId="180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0" fontId="66" fillId="0" borderId="0" applyNumberFormat="0" applyFont="0" applyFill="0" applyAlignment="0"/>
    <xf numFmtId="0" fontId="40" fillId="0" borderId="0">
      <alignment horizontal="justify" vertical="top"/>
    </xf>
    <xf numFmtId="0" fontId="67" fillId="24" borderId="0" applyNumberFormat="0" applyBorder="0" applyAlignment="0" applyProtection="0"/>
    <xf numFmtId="0" fontId="30" fillId="0" borderId="0"/>
    <xf numFmtId="37" fontId="68" fillId="0" borderId="0"/>
    <xf numFmtId="0" fontId="69" fillId="0" borderId="0"/>
    <xf numFmtId="174" fontId="70" fillId="0" borderId="0"/>
    <xf numFmtId="0" fontId="17" fillId="0" borderId="0"/>
    <xf numFmtId="0" fontId="17" fillId="0" borderId="0"/>
    <xf numFmtId="0" fontId="17" fillId="0" borderId="0"/>
    <xf numFmtId="0" fontId="59" fillId="0" borderId="0"/>
    <xf numFmtId="0" fontId="17" fillId="25" borderId="18" applyNumberFormat="0" applyFont="0" applyAlignment="0" applyProtection="0"/>
    <xf numFmtId="0" fontId="17" fillId="0" borderId="0" applyFont="0" applyFill="0" applyBorder="0" applyAlignment="0" applyProtection="0"/>
    <xf numFmtId="0" fontId="71" fillId="0" borderId="0"/>
    <xf numFmtId="0" fontId="72" fillId="21" borderId="19" applyNumberFormat="0" applyAlignment="0" applyProtection="0"/>
    <xf numFmtId="212" fontId="1" fillId="0" borderId="0" applyFont="0" applyFill="0" applyBorder="0" applyAlignment="0" applyProtection="0"/>
    <xf numFmtId="216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225" fontId="6" fillId="0" borderId="0" applyFont="0" applyFill="0" applyBorder="0" applyAlignment="0" applyProtection="0"/>
    <xf numFmtId="3" fontId="6" fillId="0" borderId="20">
      <alignment horizontal="right" wrapText="1"/>
    </xf>
    <xf numFmtId="0" fontId="2" fillId="0" borderId="0" applyNumberForma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0" fontId="65" fillId="0" borderId="0"/>
    <xf numFmtId="186" fontId="73" fillId="0" borderId="13">
      <alignment horizontal="right" vertical="center"/>
    </xf>
    <xf numFmtId="232" fontId="6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233" fontId="1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93" fontId="40" fillId="0" borderId="1">
      <protection hidden="1"/>
    </xf>
    <xf numFmtId="49" fontId="43" fillId="0" borderId="0" applyFill="0" applyBorder="0" applyAlignment="0"/>
    <xf numFmtId="214" fontId="1" fillId="0" borderId="0" applyFill="0" applyBorder="0" applyAlignment="0"/>
    <xf numFmtId="215" fontId="1" fillId="0" borderId="0" applyFill="0" applyBorder="0" applyAlignment="0"/>
    <xf numFmtId="187" fontId="73" fillId="0" borderId="13">
      <alignment horizontal="center"/>
    </xf>
    <xf numFmtId="0" fontId="75" fillId="0" borderId="21"/>
    <xf numFmtId="49" fontId="76" fillId="0" borderId="0">
      <alignment horizontal="justify" vertical="center" wrapText="1"/>
    </xf>
    <xf numFmtId="40" fontId="77" fillId="0" borderId="0"/>
    <xf numFmtId="0" fontId="78" fillId="0" borderId="2"/>
    <xf numFmtId="0" fontId="79" fillId="0" borderId="0" applyNumberFormat="0" applyFill="0" applyBorder="0" applyAlignment="0" applyProtection="0"/>
    <xf numFmtId="0" fontId="80" fillId="0" borderId="22" applyNumberFormat="0" applyFill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4" fontId="73" fillId="0" borderId="0"/>
    <xf numFmtId="185" fontId="73" fillId="0" borderId="12"/>
    <xf numFmtId="0" fontId="81" fillId="0" borderId="23">
      <alignment horizontal="left" vertical="center"/>
    </xf>
    <xf numFmtId="170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4" fillId="0" borderId="0">
      <alignment horizontal="left" wrapText="1"/>
    </xf>
    <xf numFmtId="234" fontId="85" fillId="0" borderId="0" applyFont="0" applyFill="0" applyBorder="0" applyAlignment="0" applyProtection="0"/>
    <xf numFmtId="235" fontId="85" fillId="0" borderId="0" applyFont="0" applyFill="0" applyBorder="0" applyAlignment="0" applyProtection="0"/>
    <xf numFmtId="0" fontId="85" fillId="0" borderId="0"/>
    <xf numFmtId="40" fontId="86" fillId="0" borderId="0" applyFont="0" applyFill="0" applyBorder="0" applyAlignment="0" applyProtection="0"/>
    <xf numFmtId="38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9" fontId="87" fillId="0" borderId="0" applyFont="0" applyFill="0" applyBorder="0" applyAlignment="0" applyProtection="0"/>
    <xf numFmtId="0" fontId="88" fillId="0" borderId="0"/>
    <xf numFmtId="230" fontId="89" fillId="0" borderId="0" applyFont="0" applyFill="0" applyBorder="0" applyAlignment="0" applyProtection="0"/>
    <xf numFmtId="231" fontId="17" fillId="0" borderId="0" applyFont="0" applyFill="0" applyBorder="0" applyAlignment="0" applyProtection="0"/>
    <xf numFmtId="0" fontId="66" fillId="0" borderId="0"/>
    <xf numFmtId="165" fontId="90" fillId="0" borderId="0" applyFont="0" applyFill="0" applyBorder="0" applyAlignment="0" applyProtection="0"/>
    <xf numFmtId="167" fontId="90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76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0" fontId="91" fillId="0" borderId="0"/>
    <xf numFmtId="219" fontId="92" fillId="0" borderId="0" applyFont="0" applyFill="0" applyBorder="0" applyAlignment="0" applyProtection="0"/>
    <xf numFmtId="218" fontId="92" fillId="0" borderId="0" applyFont="0" applyFill="0" applyBorder="0" applyAlignment="0" applyProtection="0"/>
    <xf numFmtId="0" fontId="92" fillId="0" borderId="0"/>
    <xf numFmtId="182" fontId="90" fillId="0" borderId="0" applyFont="0" applyFill="0" applyBorder="0" applyAlignment="0" applyProtection="0"/>
    <xf numFmtId="6" fontId="93" fillId="0" borderId="0" applyFont="0" applyFill="0" applyBorder="0" applyAlignment="0" applyProtection="0"/>
    <xf numFmtId="183" fontId="90" fillId="0" borderId="0" applyFont="0" applyFill="0" applyBorder="0" applyAlignment="0" applyProtection="0"/>
    <xf numFmtId="235" fontId="92" fillId="0" borderId="0" applyFont="0" applyFill="0" applyBorder="0" applyAlignment="0" applyProtection="0"/>
    <xf numFmtId="234" fontId="92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5" fillId="0" borderId="0">
      <alignment vertical="center"/>
    </xf>
  </cellStyleXfs>
  <cellXfs count="284">
    <xf numFmtId="0" fontId="0" fillId="0" borderId="0" xfId="0"/>
    <xf numFmtId="0" fontId="96" fillId="0" borderId="0" xfId="0" applyFont="1"/>
    <xf numFmtId="0" fontId="30" fillId="0" borderId="0" xfId="0" applyFont="1"/>
    <xf numFmtId="0" fontId="30" fillId="0" borderId="24" xfId="0" applyFont="1" applyFill="1" applyBorder="1" applyAlignment="1">
      <alignment horizontal="center" vertical="center"/>
    </xf>
    <xf numFmtId="0" fontId="98" fillId="0" borderId="0" xfId="0" applyFont="1" applyFill="1" applyAlignment="1">
      <alignment vertical="center"/>
    </xf>
    <xf numFmtId="169" fontId="98" fillId="0" borderId="0" xfId="337" applyNumberFormat="1" applyFont="1" applyFill="1" applyAlignment="1">
      <alignment vertical="center"/>
    </xf>
    <xf numFmtId="0" fontId="98" fillId="0" borderId="0" xfId="0" applyFont="1" applyFill="1" applyAlignment="1">
      <alignment vertical="center" wrapText="1"/>
    </xf>
    <xf numFmtId="169" fontId="98" fillId="0" borderId="0" xfId="337" applyNumberFormat="1" applyFont="1" applyFill="1" applyAlignment="1">
      <alignment vertical="center" wrapText="1"/>
    </xf>
    <xf numFmtId="0" fontId="98" fillId="0" borderId="0" xfId="0" applyFont="1" applyFill="1" applyBorder="1" applyAlignment="1">
      <alignment vertical="center" wrapText="1"/>
    </xf>
    <xf numFmtId="0" fontId="98" fillId="0" borderId="25" xfId="0" applyFont="1" applyFill="1" applyBorder="1" applyAlignment="1">
      <alignment vertical="center" wrapText="1"/>
    </xf>
    <xf numFmtId="0" fontId="103" fillId="0" borderId="0" xfId="0" applyFont="1" applyFill="1" applyBorder="1" applyAlignment="1">
      <alignment horizontal="center" vertical="center"/>
    </xf>
    <xf numFmtId="0" fontId="98" fillId="0" borderId="0" xfId="0" applyFont="1" applyFill="1" applyBorder="1" applyAlignment="1">
      <alignment vertical="center"/>
    </xf>
    <xf numFmtId="0" fontId="98" fillId="0" borderId="0" xfId="0" applyFont="1" applyFill="1" applyBorder="1" applyAlignment="1">
      <alignment horizontal="center" vertical="center"/>
    </xf>
    <xf numFmtId="169" fontId="98" fillId="0" borderId="0" xfId="337" applyNumberFormat="1" applyFont="1" applyFill="1" applyBorder="1" applyAlignment="1">
      <alignment horizontal="center" vertical="center"/>
    </xf>
    <xf numFmtId="0" fontId="103" fillId="0" borderId="0" xfId="0" applyFont="1" applyFill="1" applyBorder="1" applyAlignment="1">
      <alignment horizontal="left" vertical="center"/>
    </xf>
    <xf numFmtId="0" fontId="98" fillId="0" borderId="0" xfId="0" applyFont="1" applyFill="1" applyAlignment="1">
      <alignment horizontal="center" vertical="center" wrapText="1"/>
    </xf>
    <xf numFmtId="169" fontId="98" fillId="0" borderId="0" xfId="337" applyNumberFormat="1" applyFont="1" applyFill="1" applyAlignment="1">
      <alignment horizontal="center" vertical="center" wrapText="1"/>
    </xf>
    <xf numFmtId="169" fontId="30" fillId="0" borderId="2" xfId="337" applyNumberFormat="1" applyFont="1" applyBorder="1" applyAlignment="1">
      <alignment horizontal="center" vertical="center" wrapText="1"/>
    </xf>
    <xf numFmtId="0" fontId="30" fillId="0" borderId="0" xfId="0" applyFont="1" applyBorder="1" applyAlignment="1">
      <alignment vertical="center" wrapText="1"/>
    </xf>
    <xf numFmtId="0" fontId="102" fillId="0" borderId="0" xfId="0" applyFont="1" applyFill="1" applyBorder="1" applyAlignment="1">
      <alignment vertical="center"/>
    </xf>
    <xf numFmtId="169" fontId="100" fillId="0" borderId="12" xfId="337" applyNumberFormat="1" applyFont="1" applyFill="1" applyBorder="1" applyAlignment="1">
      <alignment horizontal="center" vertical="center" wrapText="1"/>
    </xf>
    <xf numFmtId="0" fontId="100" fillId="0" borderId="0" xfId="0" applyFont="1" applyFill="1" applyAlignment="1">
      <alignment horizontal="center" vertical="center" wrapText="1"/>
    </xf>
    <xf numFmtId="169" fontId="100" fillId="0" borderId="0" xfId="337" applyNumberFormat="1" applyFont="1" applyFill="1" applyAlignment="1">
      <alignment horizontal="center" vertical="center" wrapText="1"/>
    </xf>
    <xf numFmtId="0" fontId="102" fillId="0" borderId="0" xfId="0" applyFont="1" applyFill="1" applyBorder="1" applyAlignment="1">
      <alignment horizontal="left" vertical="center"/>
    </xf>
    <xf numFmtId="10" fontId="30" fillId="0" borderId="0" xfId="0" applyNumberFormat="1" applyFont="1"/>
    <xf numFmtId="0" fontId="100" fillId="0" borderId="0" xfId="0" applyFont="1" applyFill="1" applyAlignment="1">
      <alignment vertical="center" wrapText="1"/>
    </xf>
    <xf numFmtId="169" fontId="100" fillId="0" borderId="0" xfId="337" applyNumberFormat="1" applyFont="1" applyFill="1" applyAlignment="1">
      <alignment vertical="center" wrapText="1"/>
    </xf>
    <xf numFmtId="0" fontId="77" fillId="26" borderId="14" xfId="0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30" fillId="0" borderId="0" xfId="0" applyFont="1" applyFill="1" applyAlignment="1">
      <alignment vertical="center" wrapText="1"/>
    </xf>
    <xf numFmtId="169" fontId="30" fillId="0" borderId="0" xfId="337" applyNumberFormat="1" applyFont="1" applyFill="1" applyAlignment="1">
      <alignment vertical="center" wrapText="1"/>
    </xf>
    <xf numFmtId="0" fontId="30" fillId="0" borderId="2" xfId="0" applyFont="1" applyFill="1" applyBorder="1" applyAlignment="1">
      <alignment vertical="center" wrapText="1"/>
    </xf>
    <xf numFmtId="169" fontId="30" fillId="0" borderId="2" xfId="337" applyNumberFormat="1" applyFont="1" applyFill="1" applyBorder="1" applyAlignment="1">
      <alignment horizontal="center" vertical="center" wrapText="1"/>
    </xf>
    <xf numFmtId="169" fontId="30" fillId="0" borderId="2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vertical="center" wrapText="1"/>
    </xf>
    <xf numFmtId="0" fontId="30" fillId="0" borderId="24" xfId="0" applyFont="1" applyFill="1" applyBorder="1" applyAlignment="1">
      <alignment horizontal="left" vertical="center"/>
    </xf>
    <xf numFmtId="169" fontId="30" fillId="0" borderId="24" xfId="337" applyNumberFormat="1" applyFont="1" applyFill="1" applyBorder="1" applyAlignment="1">
      <alignment horizontal="center" vertical="center" wrapText="1"/>
    </xf>
    <xf numFmtId="43" fontId="30" fillId="0" borderId="24" xfId="337" applyFont="1" applyFill="1" applyBorder="1" applyAlignment="1">
      <alignment horizontal="center" vertical="center" wrapText="1"/>
    </xf>
    <xf numFmtId="169" fontId="30" fillId="26" borderId="2" xfId="337" applyNumberFormat="1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169" fontId="30" fillId="0" borderId="0" xfId="337" applyNumberFormat="1" applyFont="1"/>
    <xf numFmtId="0" fontId="103" fillId="0" borderId="0" xfId="0" applyFont="1" applyBorder="1" applyAlignment="1">
      <alignment vertical="center"/>
    </xf>
    <xf numFmtId="0" fontId="104" fillId="0" borderId="0" xfId="0" applyNumberFormat="1" applyFont="1" applyBorder="1" applyAlignment="1">
      <alignment vertical="center" wrapText="1"/>
    </xf>
    <xf numFmtId="0" fontId="104" fillId="0" borderId="0" xfId="0" applyNumberFormat="1" applyFont="1" applyBorder="1" applyAlignment="1">
      <alignment horizontal="center" vertical="center"/>
    </xf>
    <xf numFmtId="0" fontId="97" fillId="0" borderId="0" xfId="0" applyFont="1" applyBorder="1" applyAlignment="1">
      <alignment vertical="center"/>
    </xf>
    <xf numFmtId="0" fontId="103" fillId="0" borderId="0" xfId="0" applyFont="1" applyBorder="1" applyAlignment="1">
      <alignment horizontal="center" vertical="center"/>
    </xf>
    <xf numFmtId="0" fontId="100" fillId="0" borderId="0" xfId="0" applyFont="1" applyBorder="1" applyAlignment="1">
      <alignment vertical="center"/>
    </xf>
    <xf numFmtId="0" fontId="98" fillId="0" borderId="0" xfId="0" applyFont="1" applyBorder="1" applyAlignment="1">
      <alignment vertical="center"/>
    </xf>
    <xf numFmtId="0" fontId="99" fillId="0" borderId="0" xfId="0" applyNumberFormat="1" applyFont="1" applyBorder="1" applyAlignment="1">
      <alignment horizontal="center" vertical="center" wrapText="1"/>
    </xf>
    <xf numFmtId="43" fontId="110" fillId="0" borderId="0" xfId="337" applyFont="1" applyBorder="1" applyAlignment="1">
      <alignment horizontal="left" vertical="center"/>
    </xf>
    <xf numFmtId="0" fontId="101" fillId="0" borderId="26" xfId="0" applyFont="1" applyBorder="1" applyAlignment="1">
      <alignment horizontal="center" vertical="center"/>
    </xf>
    <xf numFmtId="14" fontId="109" fillId="0" borderId="26" xfId="0" applyNumberFormat="1" applyFont="1" applyBorder="1" applyAlignment="1"/>
    <xf numFmtId="168" fontId="101" fillId="0" borderId="26" xfId="337" applyNumberFormat="1" applyFont="1" applyFill="1" applyBorder="1" applyAlignment="1">
      <alignment horizontal="center" vertical="center"/>
    </xf>
    <xf numFmtId="168" fontId="101" fillId="0" borderId="26" xfId="337" applyNumberFormat="1" applyFont="1" applyBorder="1" applyAlignment="1">
      <alignment horizontal="center" vertical="center"/>
    </xf>
    <xf numFmtId="0" fontId="102" fillId="0" borderId="0" xfId="0" applyFont="1"/>
    <xf numFmtId="0" fontId="98" fillId="0" borderId="29" xfId="421" applyFont="1" applyFill="1" applyBorder="1" applyAlignment="1">
      <alignment horizontal="center" vertical="center"/>
    </xf>
    <xf numFmtId="0" fontId="98" fillId="0" borderId="24" xfId="421" applyFont="1" applyFill="1" applyBorder="1" applyAlignment="1">
      <alignment horizontal="center" vertical="center"/>
    </xf>
    <xf numFmtId="0" fontId="30" fillId="0" borderId="0" xfId="0" applyNumberFormat="1" applyFont="1"/>
    <xf numFmtId="0" fontId="98" fillId="0" borderId="0" xfId="0" applyFont="1" applyAlignment="1">
      <alignment horizontal="center"/>
    </xf>
    <xf numFmtId="168" fontId="103" fillId="0" borderId="0" xfId="337" applyNumberFormat="1" applyFont="1" applyFill="1" applyBorder="1" applyAlignment="1">
      <alignment horizontal="center" vertical="center"/>
    </xf>
    <xf numFmtId="0" fontId="98" fillId="0" borderId="0" xfId="0" applyFont="1"/>
    <xf numFmtId="43" fontId="103" fillId="0" borderId="0" xfId="337" applyFont="1" applyFill="1" applyAlignment="1">
      <alignment horizontal="center" vertical="center"/>
    </xf>
    <xf numFmtId="168" fontId="98" fillId="0" borderId="0" xfId="337" applyNumberFormat="1" applyFont="1" applyFill="1" applyAlignment="1">
      <alignment horizontal="center" vertical="center"/>
    </xf>
    <xf numFmtId="43" fontId="98" fillId="0" borderId="0" xfId="337" applyFont="1" applyFill="1" applyAlignment="1">
      <alignment horizontal="center" vertical="center"/>
    </xf>
    <xf numFmtId="0" fontId="103" fillId="0" borderId="0" xfId="0" applyFont="1" applyFill="1" applyAlignment="1">
      <alignment vertical="center"/>
    </xf>
    <xf numFmtId="0" fontId="30" fillId="0" borderId="0" xfId="0" applyFont="1" applyFill="1" applyBorder="1" applyAlignment="1">
      <alignment vertical="center" wrapText="1"/>
    </xf>
    <xf numFmtId="169" fontId="102" fillId="0" borderId="0" xfId="337" applyNumberFormat="1" applyFont="1" applyFill="1" applyBorder="1" applyAlignment="1">
      <alignment horizontal="center" vertical="center"/>
    </xf>
    <xf numFmtId="168" fontId="103" fillId="26" borderId="12" xfId="337" applyNumberFormat="1" applyFont="1" applyFill="1" applyBorder="1" applyAlignment="1">
      <alignment vertical="center"/>
    </xf>
    <xf numFmtId="169" fontId="105" fillId="0" borderId="0" xfId="337" applyNumberFormat="1" applyFont="1" applyFill="1" applyBorder="1" applyAlignment="1">
      <alignment horizontal="center" vertical="center"/>
    </xf>
    <xf numFmtId="43" fontId="105" fillId="0" borderId="0" xfId="337" applyFont="1" applyFill="1" applyBorder="1" applyAlignment="1">
      <alignment horizontal="center" vertical="center"/>
    </xf>
    <xf numFmtId="0" fontId="111" fillId="0" borderId="0" xfId="0" applyFont="1" applyFill="1" applyBorder="1" applyAlignment="1">
      <alignment horizontal="center" vertical="center"/>
    </xf>
    <xf numFmtId="0" fontId="99" fillId="26" borderId="12" xfId="0" applyFont="1" applyFill="1" applyBorder="1" applyAlignment="1">
      <alignment horizontal="center" vertical="center"/>
    </xf>
    <xf numFmtId="0" fontId="99" fillId="0" borderId="0" xfId="0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vertical="center"/>
    </xf>
    <xf numFmtId="0" fontId="99" fillId="0" borderId="0" xfId="0" applyFont="1" applyFill="1" applyAlignment="1">
      <alignment vertical="center"/>
    </xf>
    <xf numFmtId="0" fontId="30" fillId="0" borderId="2" xfId="0" applyFont="1" applyFill="1" applyBorder="1" applyAlignment="1">
      <alignment horizontal="left" vertical="center"/>
    </xf>
    <xf numFmtId="169" fontId="30" fillId="0" borderId="2" xfId="337" applyNumberFormat="1" applyFont="1" applyFill="1" applyBorder="1" applyAlignment="1">
      <alignment horizontal="left" vertical="center"/>
    </xf>
    <xf numFmtId="43" fontId="98" fillId="0" borderId="0" xfId="337" applyFont="1" applyFill="1" applyAlignment="1">
      <alignment vertical="center" wrapText="1"/>
    </xf>
    <xf numFmtId="168" fontId="30" fillId="0" borderId="2" xfId="337" applyNumberFormat="1" applyFont="1" applyFill="1" applyBorder="1" applyAlignment="1">
      <alignment horizontal="left" vertical="center"/>
    </xf>
    <xf numFmtId="43" fontId="30" fillId="0" borderId="2" xfId="337" applyNumberFormat="1" applyFont="1" applyFill="1" applyBorder="1" applyAlignment="1">
      <alignment horizontal="left" vertical="center"/>
    </xf>
    <xf numFmtId="169" fontId="98" fillId="0" borderId="25" xfId="337" applyNumberFormat="1" applyFont="1" applyFill="1" applyBorder="1" applyAlignment="1">
      <alignment vertical="center" wrapText="1"/>
    </xf>
    <xf numFmtId="43" fontId="97" fillId="0" borderId="0" xfId="0" applyNumberFormat="1" applyFont="1" applyBorder="1" applyAlignment="1">
      <alignment vertical="center"/>
    </xf>
    <xf numFmtId="43" fontId="104" fillId="0" borderId="0" xfId="337" applyFont="1" applyBorder="1" applyAlignment="1">
      <alignment horizontal="center" vertical="center" wrapText="1"/>
    </xf>
    <xf numFmtId="43" fontId="101" fillId="0" borderId="26" xfId="337" applyFont="1" applyBorder="1" applyAlignment="1">
      <alignment horizontal="center" vertical="center"/>
    </xf>
    <xf numFmtId="43" fontId="98" fillId="0" borderId="0" xfId="337" applyFont="1" applyFill="1" applyAlignment="1">
      <alignment vertical="center"/>
    </xf>
    <xf numFmtId="43" fontId="103" fillId="0" borderId="0" xfId="337" applyFont="1" applyFill="1" applyAlignment="1">
      <alignment vertical="center"/>
    </xf>
    <xf numFmtId="43" fontId="30" fillId="0" borderId="0" xfId="337" applyFont="1"/>
    <xf numFmtId="0" fontId="101" fillId="0" borderId="0" xfId="0" applyFont="1" applyBorder="1" applyAlignment="1">
      <alignment horizontal="center" vertical="center"/>
    </xf>
    <xf numFmtId="169" fontId="98" fillId="0" borderId="25" xfId="0" applyNumberFormat="1" applyFont="1" applyFill="1" applyBorder="1" applyAlignment="1">
      <alignment vertical="center" wrapText="1"/>
    </xf>
    <xf numFmtId="0" fontId="97" fillId="0" borderId="0" xfId="0" applyFont="1" applyBorder="1"/>
    <xf numFmtId="0" fontId="100" fillId="0" borderId="0" xfId="0" applyFont="1" applyFill="1" applyBorder="1" applyAlignment="1">
      <alignment horizontal="center" vertical="center"/>
    </xf>
    <xf numFmtId="0" fontId="97" fillId="0" borderId="0" xfId="0" applyFont="1" applyFill="1" applyAlignment="1">
      <alignment vertical="center"/>
    </xf>
    <xf numFmtId="169" fontId="97" fillId="0" borderId="0" xfId="337" applyNumberFormat="1" applyFont="1" applyFill="1" applyAlignment="1">
      <alignment vertical="center"/>
    </xf>
    <xf numFmtId="169" fontId="96" fillId="0" borderId="0" xfId="337" applyNumberFormat="1" applyFont="1"/>
    <xf numFmtId="0" fontId="30" fillId="0" borderId="0" xfId="0" applyFont="1" applyFill="1" applyBorder="1" applyAlignment="1">
      <alignment horizontal="center" vertical="center"/>
    </xf>
    <xf numFmtId="0" fontId="112" fillId="0" borderId="0" xfId="0" applyFont="1"/>
    <xf numFmtId="0" fontId="30" fillId="26" borderId="12" xfId="0" applyFont="1" applyFill="1" applyBorder="1" applyAlignment="1">
      <alignment horizontal="center" vertical="center"/>
    </xf>
    <xf numFmtId="0" fontId="102" fillId="26" borderId="12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98" fillId="0" borderId="0" xfId="0" applyFont="1" applyFill="1" applyAlignment="1">
      <alignment horizontal="center" vertical="center"/>
    </xf>
    <xf numFmtId="0" fontId="103" fillId="0" borderId="0" xfId="0" applyFont="1" applyFill="1" applyAlignment="1">
      <alignment horizontal="center" vertical="center"/>
    </xf>
    <xf numFmtId="0" fontId="30" fillId="0" borderId="0" xfId="0" applyFont="1" applyAlignment="1">
      <alignment horizontal="center"/>
    </xf>
    <xf numFmtId="0" fontId="30" fillId="0" borderId="2" xfId="0" applyFont="1" applyFill="1" applyBorder="1" applyAlignment="1">
      <alignment horizontal="center" vertical="center"/>
    </xf>
    <xf numFmtId="0" fontId="98" fillId="0" borderId="25" xfId="0" applyFont="1" applyFill="1" applyBorder="1" applyAlignment="1">
      <alignment horizontal="center" vertical="center" wrapText="1"/>
    </xf>
    <xf numFmtId="236" fontId="98" fillId="26" borderId="12" xfId="0" applyNumberFormat="1" applyFont="1" applyFill="1" applyBorder="1" applyAlignment="1">
      <alignment horizontal="center" vertical="center"/>
    </xf>
    <xf numFmtId="0" fontId="104" fillId="0" borderId="0" xfId="0" applyNumberFormat="1" applyFont="1" applyBorder="1" applyAlignment="1">
      <alignment horizontal="center" vertical="center" wrapText="1"/>
    </xf>
    <xf numFmtId="168" fontId="98" fillId="0" borderId="0" xfId="337" applyNumberFormat="1" applyFont="1" applyFill="1" applyAlignment="1">
      <alignment horizontal="center"/>
    </xf>
    <xf numFmtId="168" fontId="98" fillId="0" borderId="0" xfId="337" applyNumberFormat="1" applyFont="1" applyFill="1" applyBorder="1" applyAlignment="1">
      <alignment horizontal="center" vertical="center"/>
    </xf>
    <xf numFmtId="168" fontId="103" fillId="0" borderId="0" xfId="337" applyNumberFormat="1" applyFont="1" applyFill="1" applyAlignment="1">
      <alignment horizontal="center" vertical="center"/>
    </xf>
    <xf numFmtId="168" fontId="30" fillId="0" borderId="0" xfId="337" applyNumberFormat="1" applyFont="1" applyFill="1" applyAlignment="1">
      <alignment horizontal="center"/>
    </xf>
    <xf numFmtId="168" fontId="30" fillId="0" borderId="0" xfId="337" applyNumberFormat="1" applyFont="1" applyAlignment="1">
      <alignment horizontal="center"/>
    </xf>
    <xf numFmtId="0" fontId="113" fillId="0" borderId="26" xfId="0" applyFont="1" applyBorder="1" applyAlignment="1">
      <alignment vertical="center"/>
    </xf>
    <xf numFmtId="169" fontId="114" fillId="0" borderId="0" xfId="337" applyNumberFormat="1" applyFont="1"/>
    <xf numFmtId="0" fontId="114" fillId="0" borderId="0" xfId="0" applyFont="1"/>
    <xf numFmtId="169" fontId="77" fillId="26" borderId="14" xfId="341" applyNumberFormat="1" applyFont="1" applyFill="1" applyBorder="1" applyAlignment="1">
      <alignment horizontal="center" vertical="center" wrapText="1"/>
    </xf>
    <xf numFmtId="0" fontId="30" fillId="27" borderId="14" xfId="0" applyFont="1" applyFill="1" applyBorder="1" applyAlignment="1">
      <alignment horizontal="center" vertical="center" wrapText="1"/>
    </xf>
    <xf numFmtId="0" fontId="98" fillId="26" borderId="12" xfId="0" applyFont="1" applyFill="1" applyBorder="1" applyAlignment="1">
      <alignment vertical="center" wrapText="1"/>
    </xf>
    <xf numFmtId="168" fontId="103" fillId="26" borderId="0" xfId="337" applyNumberFormat="1" applyFont="1" applyFill="1" applyBorder="1" applyAlignment="1">
      <alignment vertical="center"/>
    </xf>
    <xf numFmtId="0" fontId="102" fillId="26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 wrapText="1"/>
    </xf>
    <xf numFmtId="169" fontId="30" fillId="0" borderId="0" xfId="337" applyNumberFormat="1" applyFont="1" applyFill="1" applyBorder="1" applyAlignment="1">
      <alignment vertical="center" wrapText="1"/>
    </xf>
    <xf numFmtId="43" fontId="30" fillId="0" borderId="0" xfId="337" applyFont="1" applyFill="1" applyBorder="1" applyAlignment="1">
      <alignment vertical="center" wrapText="1"/>
    </xf>
    <xf numFmtId="0" fontId="102" fillId="0" borderId="0" xfId="0" applyFont="1" applyFill="1" applyBorder="1" applyAlignment="1">
      <alignment horizontal="center" vertical="center"/>
    </xf>
    <xf numFmtId="0" fontId="30" fillId="0" borderId="0" xfId="0" applyFont="1" applyFill="1" applyAlignment="1">
      <alignment horizontal="center" vertical="center" wrapText="1"/>
    </xf>
    <xf numFmtId="43" fontId="30" fillId="0" borderId="0" xfId="337" applyFont="1" applyFill="1" applyAlignment="1">
      <alignment vertical="center" wrapText="1"/>
    </xf>
    <xf numFmtId="0" fontId="96" fillId="0" borderId="0" xfId="420" applyNumberFormat="1" applyFont="1" applyBorder="1" applyAlignment="1"/>
    <xf numFmtId="169" fontId="100" fillId="0" borderId="12" xfId="0" applyNumberFormat="1" applyFont="1" applyFill="1" applyBorder="1" applyAlignment="1">
      <alignment vertical="center" wrapText="1"/>
    </xf>
    <xf numFmtId="0" fontId="30" fillId="0" borderId="2" xfId="0" applyFont="1" applyFill="1" applyBorder="1" applyAlignment="1">
      <alignment horizontal="center" vertical="center" wrapText="1"/>
    </xf>
    <xf numFmtId="0" fontId="30" fillId="0" borderId="30" xfId="0" applyFont="1" applyBorder="1" applyAlignment="1">
      <alignment horizontal="center" vertical="center" wrapText="1"/>
    </xf>
    <xf numFmtId="168" fontId="99" fillId="0" borderId="29" xfId="341" applyNumberFormat="1" applyFont="1" applyFill="1" applyBorder="1" applyAlignment="1">
      <alignment horizontal="center" vertical="center"/>
    </xf>
    <xf numFmtId="168" fontId="99" fillId="0" borderId="24" xfId="341" applyNumberFormat="1" applyFont="1" applyFill="1" applyBorder="1" applyAlignment="1">
      <alignment horizontal="center" vertical="center"/>
    </xf>
    <xf numFmtId="169" fontId="30" fillId="0" borderId="2" xfId="341" applyNumberFormat="1" applyFont="1" applyFill="1" applyBorder="1" applyAlignment="1">
      <alignment horizontal="center" vertical="center" wrapText="1"/>
    </xf>
    <xf numFmtId="43" fontId="30" fillId="0" borderId="2" xfId="341" applyNumberFormat="1" applyFont="1" applyFill="1" applyBorder="1" applyAlignment="1">
      <alignment horizontal="left" vertical="center"/>
    </xf>
    <xf numFmtId="0" fontId="102" fillId="0" borderId="0" xfId="0" applyFont="1" applyFill="1" applyAlignment="1">
      <alignment horizontal="center" vertical="center" wrapText="1"/>
    </xf>
    <xf numFmtId="0" fontId="30" fillId="0" borderId="30" xfId="0" applyFont="1" applyFill="1" applyBorder="1" applyAlignment="1">
      <alignment horizontal="center" vertical="center" wrapText="1"/>
    </xf>
    <xf numFmtId="0" fontId="30" fillId="0" borderId="30" xfId="0" applyFont="1" applyFill="1" applyBorder="1" applyAlignment="1">
      <alignment horizontal="left" vertical="center" wrapText="1"/>
    </xf>
    <xf numFmtId="169" fontId="30" fillId="0" borderId="30" xfId="337" applyNumberFormat="1" applyFont="1" applyBorder="1" applyAlignment="1">
      <alignment horizontal="center" vertical="center" wrapText="1"/>
    </xf>
    <xf numFmtId="169" fontId="30" fillId="0" borderId="12" xfId="337" applyNumberFormat="1" applyFont="1" applyBorder="1" applyAlignment="1">
      <alignment horizontal="center" vertical="center" wrapText="1"/>
    </xf>
    <xf numFmtId="169" fontId="115" fillId="0" borderId="2" xfId="337" applyNumberFormat="1" applyFont="1" applyBorder="1" applyAlignment="1">
      <alignment horizontal="center" vertical="center" wrapText="1"/>
    </xf>
    <xf numFmtId="0" fontId="102" fillId="0" borderId="12" xfId="0" applyFont="1" applyBorder="1" applyAlignment="1">
      <alignment vertical="center" wrapText="1"/>
    </xf>
    <xf numFmtId="14" fontId="109" fillId="0" borderId="26" xfId="0" applyNumberFormat="1" applyFont="1" applyBorder="1" applyAlignment="1">
      <alignment horizontal="center"/>
    </xf>
    <xf numFmtId="0" fontId="116" fillId="0" borderId="26" xfId="0" applyNumberFormat="1" applyFont="1" applyBorder="1" applyAlignment="1">
      <alignment horizontal="center"/>
    </xf>
    <xf numFmtId="0" fontId="115" fillId="0" borderId="2" xfId="0" applyFont="1" applyBorder="1" applyAlignment="1">
      <alignment horizontal="center" vertical="center" wrapText="1"/>
    </xf>
    <xf numFmtId="169" fontId="117" fillId="0" borderId="0" xfId="337" applyNumberFormat="1" applyFont="1"/>
    <xf numFmtId="169" fontId="115" fillId="0" borderId="0" xfId="337" applyNumberFormat="1" applyFont="1"/>
    <xf numFmtId="0" fontId="115" fillId="0" borderId="0" xfId="0" applyFont="1"/>
    <xf numFmtId="0" fontId="115" fillId="0" borderId="2" xfId="0" applyFont="1" applyFill="1" applyBorder="1" applyAlignment="1">
      <alignment horizontal="left" vertical="center" wrapText="1"/>
    </xf>
    <xf numFmtId="0" fontId="118" fillId="0" borderId="0" xfId="0" applyFont="1" applyFill="1" applyBorder="1" applyAlignment="1">
      <alignment horizontal="center" vertical="center"/>
    </xf>
    <xf numFmtId="0" fontId="119" fillId="0" borderId="2" xfId="0" applyFont="1" applyBorder="1" applyAlignment="1">
      <alignment horizontal="center" vertical="center" wrapText="1"/>
    </xf>
    <xf numFmtId="0" fontId="119" fillId="0" borderId="2" xfId="0" applyFont="1" applyFill="1" applyBorder="1" applyAlignment="1">
      <alignment horizontal="center" vertical="center" wrapText="1"/>
    </xf>
    <xf numFmtId="0" fontId="119" fillId="0" borderId="2" xfId="0" applyFont="1" applyFill="1" applyBorder="1" applyAlignment="1">
      <alignment horizontal="left" vertical="center"/>
    </xf>
    <xf numFmtId="169" fontId="119" fillId="0" borderId="2" xfId="337" applyNumberFormat="1" applyFont="1" applyBorder="1" applyAlignment="1">
      <alignment horizontal="center" vertical="center" wrapText="1"/>
    </xf>
    <xf numFmtId="169" fontId="120" fillId="0" borderId="0" xfId="337" applyNumberFormat="1" applyFont="1"/>
    <xf numFmtId="169" fontId="119" fillId="0" borderId="0" xfId="337" applyNumberFormat="1" applyFont="1"/>
    <xf numFmtId="0" fontId="119" fillId="0" borderId="0" xfId="0" applyFont="1"/>
    <xf numFmtId="0" fontId="77" fillId="26" borderId="14" xfId="0" applyFont="1" applyFill="1" applyBorder="1" applyAlignment="1">
      <alignment horizontal="center" vertical="center" wrapText="1"/>
    </xf>
    <xf numFmtId="169" fontId="77" fillId="26" borderId="12" xfId="337" applyNumberFormat="1" applyFont="1" applyFill="1" applyBorder="1" applyAlignment="1">
      <alignment horizontal="center" vertical="center" wrapText="1"/>
    </xf>
    <xf numFmtId="49" fontId="77" fillId="26" borderId="12" xfId="337" applyNumberFormat="1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168" fontId="98" fillId="26" borderId="23" xfId="337" applyNumberFormat="1" applyFont="1" applyFill="1" applyBorder="1" applyAlignment="1">
      <alignment horizontal="center" vertical="center" textRotation="90"/>
    </xf>
    <xf numFmtId="0" fontId="103" fillId="26" borderId="14" xfId="0" applyFont="1" applyFill="1" applyBorder="1" applyAlignment="1">
      <alignment horizontal="center" vertical="center"/>
    </xf>
    <xf numFmtId="43" fontId="103" fillId="26" borderId="14" xfId="337" applyFont="1" applyFill="1" applyBorder="1" applyAlignment="1">
      <alignment horizontal="center" vertical="center"/>
    </xf>
    <xf numFmtId="0" fontId="97" fillId="27" borderId="12" xfId="0" applyFont="1" applyFill="1" applyBorder="1" applyAlignment="1">
      <alignment horizontal="center" vertical="center"/>
    </xf>
    <xf numFmtId="0" fontId="77" fillId="0" borderId="12" xfId="0" applyFont="1" applyFill="1" applyBorder="1" applyAlignment="1">
      <alignment horizontal="center" vertical="center"/>
    </xf>
    <xf numFmtId="0" fontId="77" fillId="0" borderId="6" xfId="0" applyFont="1" applyFill="1" applyBorder="1" applyAlignment="1">
      <alignment horizontal="center" vertical="center"/>
    </xf>
    <xf numFmtId="0" fontId="77" fillId="0" borderId="0" xfId="0" applyFont="1" applyFill="1"/>
    <xf numFmtId="0" fontId="77" fillId="0" borderId="13" xfId="0" applyFont="1" applyFill="1" applyBorder="1" applyAlignment="1">
      <alignment horizontal="left" vertical="center"/>
    </xf>
    <xf numFmtId="0" fontId="77" fillId="0" borderId="8" xfId="0" applyFont="1" applyFill="1" applyBorder="1" applyAlignment="1">
      <alignment horizontal="center" vertical="center"/>
    </xf>
    <xf numFmtId="0" fontId="77" fillId="0" borderId="27" xfId="0" applyFont="1" applyFill="1" applyBorder="1" applyAlignment="1">
      <alignment horizontal="center" vertical="center"/>
    </xf>
    <xf numFmtId="169" fontId="30" fillId="0" borderId="24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horizontal="center" vertical="center" wrapText="1"/>
    </xf>
    <xf numFmtId="0" fontId="99" fillId="0" borderId="23" xfId="0" applyFont="1" applyFill="1" applyBorder="1" applyAlignment="1">
      <alignment horizontal="center" vertical="center"/>
    </xf>
    <xf numFmtId="0" fontId="102" fillId="0" borderId="23" xfId="0" applyFont="1" applyFill="1" applyBorder="1" applyAlignment="1">
      <alignment horizontal="left" vertical="center"/>
    </xf>
    <xf numFmtId="0" fontId="102" fillId="0" borderId="23" xfId="0" applyFont="1" applyFill="1" applyBorder="1" applyAlignment="1">
      <alignment horizontal="center" vertical="center"/>
    </xf>
    <xf numFmtId="14" fontId="118" fillId="0" borderId="0" xfId="0" applyNumberFormat="1" applyFont="1" applyFill="1" applyBorder="1" applyAlignment="1">
      <alignment horizontal="center" vertical="center"/>
    </xf>
    <xf numFmtId="169" fontId="115" fillId="29" borderId="2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30" fillId="0" borderId="23" xfId="0" applyFont="1" applyFill="1" applyBorder="1" applyAlignment="1">
      <alignment vertical="center" wrapText="1"/>
    </xf>
    <xf numFmtId="0" fontId="30" fillId="0" borderId="23" xfId="0" applyFont="1" applyFill="1" applyBorder="1" applyAlignment="1">
      <alignment horizontal="center" vertical="center" wrapText="1"/>
    </xf>
    <xf numFmtId="0" fontId="30" fillId="0" borderId="23" xfId="0" applyFont="1" applyFill="1" applyBorder="1" applyAlignment="1">
      <alignment horizontal="left" vertical="center"/>
    </xf>
    <xf numFmtId="0" fontId="30" fillId="0" borderId="23" xfId="0" applyFont="1" applyFill="1" applyBorder="1" applyAlignment="1">
      <alignment horizontal="center" vertical="center"/>
    </xf>
    <xf numFmtId="169" fontId="30" fillId="0" borderId="23" xfId="337" applyNumberFormat="1" applyFont="1" applyFill="1" applyBorder="1" applyAlignment="1">
      <alignment horizontal="left" vertical="center"/>
    </xf>
    <xf numFmtId="168" fontId="30" fillId="0" borderId="23" xfId="337" applyNumberFormat="1" applyFont="1" applyFill="1" applyBorder="1" applyAlignment="1">
      <alignment horizontal="left" vertical="center"/>
    </xf>
    <xf numFmtId="169" fontId="30" fillId="0" borderId="23" xfId="341" applyNumberFormat="1" applyFont="1" applyFill="1" applyBorder="1" applyAlignment="1">
      <alignment horizontal="center" vertical="center" wrapText="1"/>
    </xf>
    <xf numFmtId="43" fontId="30" fillId="0" borderId="23" xfId="337" applyNumberFormat="1" applyFont="1" applyFill="1" applyBorder="1" applyAlignment="1">
      <alignment horizontal="left" vertical="center"/>
    </xf>
    <xf numFmtId="169" fontId="30" fillId="0" borderId="23" xfId="337" applyNumberFormat="1" applyFont="1" applyFill="1" applyBorder="1" applyAlignment="1">
      <alignment horizontal="center" vertical="center" wrapText="1"/>
    </xf>
    <xf numFmtId="169" fontId="30" fillId="0" borderId="23" xfId="337" quotePrefix="1" applyNumberFormat="1" applyFont="1" applyFill="1" applyBorder="1" applyAlignment="1">
      <alignment horizontal="center" vertical="center" wrapText="1"/>
    </xf>
    <xf numFmtId="169" fontId="30" fillId="26" borderId="23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169" fontId="100" fillId="0" borderId="0" xfId="0" applyNumberFormat="1" applyFont="1" applyFill="1" applyBorder="1" applyAlignment="1">
      <alignment horizontal="center" vertical="center"/>
    </xf>
    <xf numFmtId="236" fontId="98" fillId="26" borderId="31" xfId="0" applyNumberFormat="1" applyFont="1" applyFill="1" applyBorder="1" applyAlignment="1">
      <alignment horizontal="center" vertical="center"/>
    </xf>
    <xf numFmtId="168" fontId="99" fillId="0" borderId="14" xfId="341" applyNumberFormat="1" applyFont="1" applyFill="1" applyBorder="1" applyAlignment="1">
      <alignment horizontal="center" vertical="center"/>
    </xf>
    <xf numFmtId="168" fontId="99" fillId="0" borderId="28" xfId="341" applyNumberFormat="1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106" fillId="0" borderId="0" xfId="0" applyFont="1" applyBorder="1" applyAlignment="1">
      <alignment horizontal="center" vertical="top"/>
    </xf>
    <xf numFmtId="0" fontId="107" fillId="0" borderId="0" xfId="0" applyFont="1" applyBorder="1" applyAlignment="1">
      <alignment horizontal="center" vertical="top"/>
    </xf>
    <xf numFmtId="169" fontId="77" fillId="26" borderId="12" xfId="337" applyNumberFormat="1" applyFont="1" applyFill="1" applyBorder="1" applyAlignment="1">
      <alignment horizontal="center" vertical="center" wrapText="1"/>
    </xf>
    <xf numFmtId="169" fontId="115" fillId="0" borderId="2" xfId="337" quotePrefix="1" applyNumberFormat="1" applyFont="1" applyBorder="1" applyAlignment="1">
      <alignment horizontal="center" vertical="center" wrapText="1"/>
    </xf>
    <xf numFmtId="169" fontId="119" fillId="0" borderId="2" xfId="337" quotePrefix="1" applyNumberFormat="1" applyFont="1" applyBorder="1" applyAlignment="1">
      <alignment horizontal="center" vertical="center" wrapText="1"/>
    </xf>
    <xf numFmtId="0" fontId="121" fillId="30" borderId="0" xfId="0" applyFont="1" applyFill="1" applyAlignment="1">
      <alignment horizontal="left" vertical="center"/>
    </xf>
    <xf numFmtId="0" fontId="122" fillId="0" borderId="0" xfId="0" applyFont="1"/>
    <xf numFmtId="0" fontId="122" fillId="30" borderId="0" xfId="0" applyFont="1" applyFill="1" applyAlignment="1">
      <alignment horizontal="left" vertical="center"/>
    </xf>
    <xf numFmtId="0" fontId="100" fillId="0" borderId="13" xfId="0" applyFont="1" applyFill="1" applyBorder="1" applyAlignment="1">
      <alignment horizontal="left" vertical="center"/>
    </xf>
    <xf numFmtId="0" fontId="100" fillId="0" borderId="8" xfId="0" applyFont="1" applyFill="1" applyBorder="1" applyAlignment="1">
      <alignment horizontal="left" vertical="center"/>
    </xf>
    <xf numFmtId="0" fontId="100" fillId="0" borderId="27" xfId="0" applyFont="1" applyFill="1" applyBorder="1" applyAlignment="1">
      <alignment horizontal="left" vertical="center"/>
    </xf>
    <xf numFmtId="0" fontId="100" fillId="0" borderId="6" xfId="0" applyFont="1" applyFill="1" applyBorder="1" applyAlignment="1">
      <alignment horizontal="center" vertical="center"/>
    </xf>
    <xf numFmtId="0" fontId="119" fillId="0" borderId="2" xfId="0" applyFont="1" applyFill="1" applyBorder="1" applyAlignment="1">
      <alignment horizontal="left" vertical="center" wrapText="1"/>
    </xf>
    <xf numFmtId="0" fontId="102" fillId="0" borderId="31" xfId="0" applyFont="1" applyBorder="1" applyAlignment="1">
      <alignment horizontal="center" vertical="center" wrapText="1"/>
    </xf>
    <xf numFmtId="0" fontId="102" fillId="0" borderId="25" xfId="0" applyFont="1" applyBorder="1" applyAlignment="1">
      <alignment horizontal="center" vertical="center" wrapText="1"/>
    </xf>
    <xf numFmtId="0" fontId="102" fillId="0" borderId="6" xfId="0" applyFont="1" applyBorder="1" applyAlignment="1">
      <alignment horizontal="center" vertical="center" wrapText="1"/>
    </xf>
    <xf numFmtId="0" fontId="102" fillId="0" borderId="0" xfId="0" applyFont="1" applyBorder="1" applyAlignment="1">
      <alignment horizontal="center" vertical="center" wrapText="1"/>
    </xf>
    <xf numFmtId="0" fontId="102" fillId="0" borderId="34" xfId="0" applyFont="1" applyBorder="1" applyAlignment="1">
      <alignment horizontal="center" vertical="center" wrapText="1"/>
    </xf>
    <xf numFmtId="0" fontId="102" fillId="0" borderId="26" xfId="0" applyFont="1" applyBorder="1" applyAlignment="1">
      <alignment horizontal="center" vertical="center" wrapText="1"/>
    </xf>
    <xf numFmtId="0" fontId="77" fillId="26" borderId="12" xfId="0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169" fontId="77" fillId="26" borderId="23" xfId="337" applyNumberFormat="1" applyFont="1" applyFill="1" applyBorder="1" applyAlignment="1">
      <alignment horizontal="center" vertical="center" wrapText="1"/>
    </xf>
    <xf numFmtId="169" fontId="77" fillId="26" borderId="12" xfId="337" applyNumberFormat="1" applyFont="1" applyFill="1" applyBorder="1" applyAlignment="1">
      <alignment horizontal="center" vertical="center" wrapText="1"/>
    </xf>
    <xf numFmtId="169" fontId="77" fillId="26" borderId="13" xfId="337" applyNumberFormat="1" applyFont="1" applyFill="1" applyBorder="1" applyAlignment="1">
      <alignment horizontal="center" vertical="center" wrapText="1"/>
    </xf>
    <xf numFmtId="169" fontId="77" fillId="26" borderId="8" xfId="337" applyNumberFormat="1" applyFont="1" applyFill="1" applyBorder="1" applyAlignment="1">
      <alignment horizontal="center" vertical="center" wrapText="1"/>
    </xf>
    <xf numFmtId="169" fontId="77" fillId="26" borderId="27" xfId="337" applyNumberFormat="1" applyFont="1" applyFill="1" applyBorder="1" applyAlignment="1">
      <alignment horizontal="center" vertical="center" wrapText="1"/>
    </xf>
    <xf numFmtId="169" fontId="30" fillId="0" borderId="14" xfId="337" applyNumberFormat="1" applyFont="1" applyBorder="1" applyAlignment="1">
      <alignment horizontal="center" vertical="center"/>
    </xf>
    <xf numFmtId="169" fontId="30" fillId="0" borderId="28" xfId="337" applyNumberFormat="1" applyFont="1" applyBorder="1" applyAlignment="1">
      <alignment horizontal="center" vertical="center"/>
    </xf>
    <xf numFmtId="43" fontId="98" fillId="0" borderId="14" xfId="337" applyFont="1" applyBorder="1" applyAlignment="1">
      <alignment horizontal="center" vertical="center"/>
    </xf>
    <xf numFmtId="43" fontId="98" fillId="0" borderId="28" xfId="337" applyFont="1" applyBorder="1" applyAlignment="1">
      <alignment horizontal="center" vertical="center"/>
    </xf>
    <xf numFmtId="238" fontId="98" fillId="0" borderId="14" xfId="337" applyNumberFormat="1" applyFont="1" applyBorder="1" applyAlignment="1">
      <alignment horizontal="center" vertical="center"/>
    </xf>
    <xf numFmtId="238" fontId="98" fillId="0" borderId="28" xfId="337" applyNumberFormat="1" applyFont="1" applyBorder="1" applyAlignment="1">
      <alignment horizontal="center" vertical="center"/>
    </xf>
    <xf numFmtId="237" fontId="99" fillId="28" borderId="14" xfId="0" applyNumberFormat="1" applyFont="1" applyFill="1" applyBorder="1" applyAlignment="1">
      <alignment horizontal="center" vertical="center"/>
    </xf>
    <xf numFmtId="0" fontId="99" fillId="28" borderId="28" xfId="0" applyFont="1" applyFill="1" applyBorder="1" applyAlignment="1">
      <alignment horizontal="center" vertical="center"/>
    </xf>
    <xf numFmtId="238" fontId="99" fillId="28" borderId="14" xfId="337" applyNumberFormat="1" applyFont="1" applyFill="1" applyBorder="1" applyAlignment="1">
      <alignment horizontal="center" vertical="center"/>
    </xf>
    <xf numFmtId="238" fontId="99" fillId="28" borderId="28" xfId="337" applyNumberFormat="1" applyFont="1" applyFill="1" applyBorder="1" applyAlignment="1">
      <alignment horizontal="center" vertical="center"/>
    </xf>
    <xf numFmtId="0" fontId="98" fillId="0" borderId="14" xfId="0" applyFont="1" applyFill="1" applyBorder="1" applyAlignment="1">
      <alignment horizontal="center" vertical="center" wrapText="1"/>
    </xf>
    <xf numFmtId="0" fontId="98" fillId="0" borderId="28" xfId="0" applyFont="1" applyFill="1" applyBorder="1" applyAlignment="1">
      <alignment horizontal="center" vertical="center" wrapText="1"/>
    </xf>
    <xf numFmtId="0" fontId="98" fillId="0" borderId="14" xfId="421" applyNumberFormat="1" applyFont="1" applyFill="1" applyBorder="1" applyAlignment="1">
      <alignment horizontal="left" vertical="center"/>
    </xf>
    <xf numFmtId="0" fontId="98" fillId="0" borderId="28" xfId="421" applyNumberFormat="1" applyFont="1" applyFill="1" applyBorder="1" applyAlignment="1">
      <alignment horizontal="left" vertical="center"/>
    </xf>
    <xf numFmtId="0" fontId="98" fillId="0" borderId="14" xfId="421" applyNumberFormat="1" applyFont="1" applyFill="1" applyBorder="1" applyAlignment="1">
      <alignment horizontal="center" vertical="center" wrapText="1"/>
    </xf>
    <xf numFmtId="0" fontId="98" fillId="0" borderId="28" xfId="421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/>
    </xf>
    <xf numFmtId="0" fontId="100" fillId="26" borderId="23" xfId="0" applyFont="1" applyFill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 wrapText="1"/>
    </xf>
    <xf numFmtId="43" fontId="95" fillId="0" borderId="13" xfId="337" applyFont="1" applyBorder="1" applyAlignment="1">
      <alignment horizontal="center" vertical="center" wrapText="1"/>
    </xf>
    <xf numFmtId="43" fontId="95" fillId="0" borderId="8" xfId="337" applyFont="1" applyBorder="1" applyAlignment="1">
      <alignment horizontal="center" vertical="center" wrapText="1"/>
    </xf>
    <xf numFmtId="43" fontId="95" fillId="0" borderId="27" xfId="337" applyFont="1" applyBorder="1" applyAlignment="1">
      <alignment horizontal="center" vertical="center" wrapText="1"/>
    </xf>
    <xf numFmtId="0" fontId="100" fillId="26" borderId="31" xfId="0" applyFont="1" applyFill="1" applyBorder="1" applyAlignment="1">
      <alignment horizontal="center" vertical="center"/>
    </xf>
    <xf numFmtId="0" fontId="100" fillId="26" borderId="25" xfId="0" applyFont="1" applyFill="1" applyBorder="1" applyAlignment="1">
      <alignment horizontal="center" vertical="center"/>
    </xf>
    <xf numFmtId="0" fontId="100" fillId="26" borderId="32" xfId="0" applyFont="1" applyFill="1" applyBorder="1" applyAlignment="1">
      <alignment horizontal="center" vertical="center"/>
    </xf>
    <xf numFmtId="43" fontId="100" fillId="26" borderId="14" xfId="337" applyFont="1" applyFill="1" applyBorder="1" applyAlignment="1">
      <alignment horizontal="center" vertical="center" wrapText="1"/>
    </xf>
    <xf numFmtId="43" fontId="100" fillId="26" borderId="23" xfId="337" applyFont="1" applyFill="1" applyBorder="1" applyAlignment="1">
      <alignment horizontal="center" vertical="center"/>
    </xf>
    <xf numFmtId="43" fontId="77" fillId="26" borderId="14" xfId="337" applyFont="1" applyFill="1" applyBorder="1" applyAlignment="1">
      <alignment horizontal="center" vertical="center" wrapText="1"/>
    </xf>
    <xf numFmtId="43" fontId="77" fillId="26" borderId="23" xfId="337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23" xfId="0" applyFont="1" applyFill="1" applyBorder="1" applyAlignment="1">
      <alignment horizontal="center" vertical="center" wrapText="1"/>
    </xf>
    <xf numFmtId="0" fontId="77" fillId="26" borderId="31" xfId="0" applyFont="1" applyFill="1" applyBorder="1" applyAlignment="1">
      <alignment horizontal="center" vertical="center" wrapText="1"/>
    </xf>
    <xf numFmtId="0" fontId="77" fillId="26" borderId="6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105" fillId="0" borderId="33" xfId="0" applyFont="1" applyFill="1" applyBorder="1" applyAlignment="1">
      <alignment horizontal="center" vertical="center"/>
    </xf>
    <xf numFmtId="43" fontId="101" fillId="27" borderId="13" xfId="337" applyFont="1" applyFill="1" applyBorder="1" applyAlignment="1">
      <alignment horizontal="center" vertical="center" wrapText="1"/>
    </xf>
    <xf numFmtId="43" fontId="101" fillId="27" borderId="8" xfId="337" applyFont="1" applyFill="1" applyBorder="1" applyAlignment="1">
      <alignment horizontal="center" vertical="center" wrapText="1"/>
    </xf>
    <xf numFmtId="43" fontId="101" fillId="27" borderId="27" xfId="337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/>
    </xf>
    <xf numFmtId="0" fontId="77" fillId="26" borderId="23" xfId="0" applyFont="1" applyFill="1" applyBorder="1" applyAlignment="1">
      <alignment horizontal="center" vertical="center"/>
    </xf>
    <xf numFmtId="0" fontId="77" fillId="26" borderId="13" xfId="0" applyFont="1" applyFill="1" applyBorder="1" applyAlignment="1">
      <alignment horizontal="center" vertical="center" wrapText="1"/>
    </xf>
    <xf numFmtId="0" fontId="77" fillId="26" borderId="8" xfId="0" applyFont="1" applyFill="1" applyBorder="1" applyAlignment="1">
      <alignment horizontal="center" vertical="center" wrapText="1"/>
    </xf>
    <xf numFmtId="0" fontId="77" fillId="26" borderId="27" xfId="0" applyFont="1" applyFill="1" applyBorder="1" applyAlignment="1">
      <alignment horizontal="center" vertical="center" wrapText="1"/>
    </xf>
    <xf numFmtId="0" fontId="77" fillId="26" borderId="28" xfId="0" applyFont="1" applyFill="1" applyBorder="1" applyAlignment="1">
      <alignment horizontal="center" vertical="center" wrapText="1"/>
    </xf>
  </cellXfs>
  <cellStyles count="607">
    <cellStyle name="_x0001_" xfId="1"/>
    <cellStyle name="%" xfId="2"/>
    <cellStyle name="," xfId="3"/>
    <cellStyle name="??" xfId="4"/>
    <cellStyle name="?? [0.00]_List-dwg" xfId="5"/>
    <cellStyle name="?? [0]" xfId="6"/>
    <cellStyle name="??&amp;O?&amp;H?_x0008_??_x0007__x0001__x0001_" xfId="7"/>
    <cellStyle name="???? [0.00]_List-dwg" xfId="8"/>
    <cellStyle name="????_List-dwg" xfId="9"/>
    <cellStyle name="???[0]_Book1" xfId="10"/>
    <cellStyle name="???_???" xfId="11"/>
    <cellStyle name="??_ ??? ???? " xfId="12"/>
    <cellStyle name="_01 DUNGTIEN BIEU SX KINH DOANH" xfId="13"/>
    <cellStyle name="_01 modul tvql 06 08 09" xfId="14"/>
    <cellStyle name="_01 modul tvql 06 08 09_J&amp;J BCC+BL 082011 v2" xfId="15"/>
    <cellStyle name="_01 modul tvql 06 08 09_thaotuan luong 102011 v2" xfId="16"/>
    <cellStyle name="_Book1" xfId="17"/>
    <cellStyle name="_Book1_01 modul tvql 06 08 09" xfId="18"/>
    <cellStyle name="_Book1_1" xfId="19"/>
    <cellStyle name="_Book1_1_01 modul tvql 06 08 09" xfId="20"/>
    <cellStyle name="_Book1_1_CHINH DUC - MTCV GUI ANH HAI 051208" xfId="21"/>
    <cellStyle name="_Book1_1_CHINH DUC - MTCV GUI ANH HAI 051208_J&amp;J BCC+BL 082011 v2" xfId="22"/>
    <cellStyle name="_Book1_1_CHINH DUC - MTCV GUI ANH HAI 051208_thaotuan luong 102011 v2" xfId="23"/>
    <cellStyle name="_Book1_1_DAINAM" xfId="24"/>
    <cellStyle name="_Book1_1_DSKH" xfId="25"/>
    <cellStyle name="_Book1_1_DSKH_J&amp;J BCC+BL 082011 v2" xfId="26"/>
    <cellStyle name="_Book1_1_DSKH_thaotuan luong 102011 v2" xfId="27"/>
    <cellStyle name="_Book1_1_DUNG TIEN MAUKETOAN" xfId="28"/>
    <cellStyle name="_Book1_1_DUNG TIEN MAUKETOAN_J&amp;J BCC+BL 082011 v2" xfId="29"/>
    <cellStyle name="_Book1_1_DUNG TIEN MAUKETOAN_thaotuan luong 102011 v2" xfId="30"/>
    <cellStyle name="_Book1_1_hiep thanh bao gia thang 2008" xfId="31"/>
    <cellStyle name="_Book1_1_KH - HE THONG BM" xfId="32"/>
    <cellStyle name="_Book1_1_KH - Mau gui KH" xfId="33"/>
    <cellStyle name="_Book1_1_nhatkycongviec" xfId="34"/>
    <cellStyle name="_Book1_1_nhatkycongviec_J&amp;J BCC+BL 082011 v2" xfId="35"/>
    <cellStyle name="_Book1_1_nhatkycongviec_thaotuan luong 102011 v2" xfId="36"/>
    <cellStyle name="_Book1_1_NS DANH MUC  CONGVIEC" xfId="37"/>
    <cellStyle name="_Book1_1_viva ky nang mem 1108" xfId="38"/>
    <cellStyle name="_Book1_1_VIVA SO QUY 2009" xfId="39"/>
    <cellStyle name="_Book1_1_VIVA SO QUY 2009_J&amp;J BCC+BL 082011 v2" xfId="40"/>
    <cellStyle name="_Book1_1_VIVA SO QUY 2009_thaotuan luong 102011 v2" xfId="41"/>
    <cellStyle name="_Book1_1_VV - BIEU MAU NOI BO" xfId="42"/>
    <cellStyle name="_Book1_1_VV - BIEU MAU NOI BO_J&amp;J BCC+BL 082011 v2" xfId="43"/>
    <cellStyle name="_Book1_1_VV - BIEU MAU NOI BO_thaotuan luong 102011 v2" xfId="44"/>
    <cellStyle name="_Book1_1_VV - MT SWOT" xfId="45"/>
    <cellStyle name="_Book1_1_vv bao gia dvns 0309" xfId="46"/>
    <cellStyle name="_Book1_1_vv bao gia dvns 0309_J&amp;J BCC+BL 082011 v2" xfId="47"/>
    <cellStyle name="_Book1_1_vv bao gia dvns 0309_thaotuan luong 102011 v2" xfId="48"/>
    <cellStyle name="_Book1_1_vv bao gia mau 0309" xfId="49"/>
    <cellStyle name="_Book1_1_vv bieu mau gui kh" xfId="50"/>
    <cellStyle name="_Book1_1_vv bieu mau gui kh_J&amp;J BCC+BL 082011 v2" xfId="51"/>
    <cellStyle name="_Book1_1_vv bieu mau gui kh_thaotuan luong 102011 v2" xfId="52"/>
    <cellStyle name="_Book1_1_vv de nghi thanh toan" xfId="53"/>
    <cellStyle name="_Book1_1_vv de nghi thanh toan_J&amp;J BCC+BL 082011 v2" xfId="54"/>
    <cellStyle name="_Book1_1_vv de nghi thanh toan_thaotuan luong 102011 v2" xfId="55"/>
    <cellStyle name="_Book1_1_vv memo" xfId="56"/>
    <cellStyle name="_Book1_1_vv memo_J&amp;J BCC+BL 082011 v2" xfId="57"/>
    <cellStyle name="_Book1_1_vv memo_thaotuan luong 102011 v2" xfId="58"/>
    <cellStyle name="_Book1_2" xfId="59"/>
    <cellStyle name="_Book1_BC-QT-WB-dthao" xfId="60"/>
    <cellStyle name="_Book1_CHINH DUC - MTCV GUI ANH HAI 051208" xfId="61"/>
    <cellStyle name="_Book1_DAINAM" xfId="62"/>
    <cellStyle name="_Book1_DSKH" xfId="63"/>
    <cellStyle name="_Book1_DUNG TIEN MAUKETOAN" xfId="64"/>
    <cellStyle name="_Book1_hiep thanh bao gia thang 2008" xfId="65"/>
    <cellStyle name="_Book1_KH - HE THONG BM" xfId="66"/>
    <cellStyle name="_Book1_KH - Mau gui KH" xfId="67"/>
    <cellStyle name="_Book1_nhatkycongviec" xfId="68"/>
    <cellStyle name="_Book1_NS DANH MUC  CONGVIEC" xfId="69"/>
    <cellStyle name="_Book1_phieu yeu cau bo sung thong tin." xfId="70"/>
    <cellStyle name="_Book1_viva ky nang mem 1108" xfId="71"/>
    <cellStyle name="_Book1_VIVA SO QUY 2009" xfId="72"/>
    <cellStyle name="_Book1_VV - BIEU MAU NOI BO" xfId="73"/>
    <cellStyle name="_Book1_VV - MT SWOT" xfId="74"/>
    <cellStyle name="_Book1_vv bao gia dvns 0309" xfId="75"/>
    <cellStyle name="_Book1_vv bao gia mau 0309" xfId="76"/>
    <cellStyle name="_Book1_vv bieu mau gui kh" xfId="77"/>
    <cellStyle name="_Book1_vv de nghi thanh toan" xfId="78"/>
    <cellStyle name="_Book1_vv memo" xfId="79"/>
    <cellStyle name="_CHINH DUC - MTCV GUI ANH HAI 051208" xfId="80"/>
    <cellStyle name="_DAINAM" xfId="81"/>
    <cellStyle name="_DAINAM_J&amp;J BCC+BL 082011 v2" xfId="82"/>
    <cellStyle name="_DAINAM_thaotuan luong 102011 v2" xfId="83"/>
    <cellStyle name="_DSKH" xfId="84"/>
    <cellStyle name="_DUNG TIEN" xfId="85"/>
    <cellStyle name="_DUNG TIEN MAUKETOAN" xfId="86"/>
    <cellStyle name="_DUNG TIEN_J&amp;J BCC+BL 082011 v2" xfId="87"/>
    <cellStyle name="_DUNG TIEN_thaotuan luong 102011 v2" xfId="88"/>
    <cellStyle name="_hiep thanh bao gia thang 2008" xfId="89"/>
    <cellStyle name="_hiep thanh bao gia thang 2008_J&amp;J BCC+BL 082011 v2" xfId="90"/>
    <cellStyle name="_hiep thanh bao gia thang 2008_thaotuan luong 102011 v2" xfId="91"/>
    <cellStyle name="_KH - HE THONG BM" xfId="92"/>
    <cellStyle name="_KH - HE THONG BM_J&amp;J BCC+BL 082011 v2" xfId="93"/>
    <cellStyle name="_KH - HE THONG BM_thaotuan luong 102011 v2" xfId="94"/>
    <cellStyle name="_KH - Mau gui KH" xfId="95"/>
    <cellStyle name="_KH - Mau gui KH_J&amp;J BCC+BL 082011 v2" xfId="96"/>
    <cellStyle name="_KH - Mau gui KH_thaotuan luong 102011 v2" xfId="97"/>
    <cellStyle name="_KT (2)" xfId="98"/>
    <cellStyle name="_KT (2)_1" xfId="99"/>
    <cellStyle name="_KT (2)_1_Lora-tungchau" xfId="100"/>
    <cellStyle name="_KT (2)_1_Qt-HT3PQ1(CauKho)" xfId="101"/>
    <cellStyle name="_KT (2)_2" xfId="102"/>
    <cellStyle name="_KT (2)_2_TG-TH" xfId="103"/>
    <cellStyle name="_KT (2)_2_TG-TH_BAO CAO KLCT PT2000" xfId="104"/>
    <cellStyle name="_KT (2)_2_TG-TH_BAO CAO PT2000" xfId="105"/>
    <cellStyle name="_KT (2)_2_TG-TH_BAO CAO PT2000_Book1" xfId="106"/>
    <cellStyle name="_KT (2)_2_TG-TH_Bao cao XDCB 2001 - T11 KH dieu chinh 20-11-THAI" xfId="107"/>
    <cellStyle name="_KT (2)_2_TG-TH_Book1" xfId="108"/>
    <cellStyle name="_KT (2)_2_TG-TH_Book1_1" xfId="109"/>
    <cellStyle name="_KT (2)_2_TG-TH_Book1_2" xfId="110"/>
    <cellStyle name="_KT (2)_2_TG-TH_DTCDT MR.2N110.HOCMON.TDTOAN.CCUNG" xfId="111"/>
    <cellStyle name="_KT (2)_2_TG-TH_Lora-tungchau" xfId="112"/>
    <cellStyle name="_KT (2)_2_TG-TH_PGIA-phieu tham tra Kho bac" xfId="113"/>
    <cellStyle name="_KT (2)_2_TG-TH_PT02-02" xfId="114"/>
    <cellStyle name="_KT (2)_2_TG-TH_PT02-02_Book1" xfId="115"/>
    <cellStyle name="_KT (2)_2_TG-TH_PT02-03" xfId="116"/>
    <cellStyle name="_KT (2)_2_TG-TH_PT02-03_Book1" xfId="117"/>
    <cellStyle name="_KT (2)_2_TG-TH_Qt-HT3PQ1(CauKho)" xfId="118"/>
    <cellStyle name="_KT (2)_3" xfId="119"/>
    <cellStyle name="_KT (2)_3_TG-TH" xfId="120"/>
    <cellStyle name="_KT (2)_3_TG-TH_Book1" xfId="121"/>
    <cellStyle name="_KT (2)_3_TG-TH_Book1_BC-QT-WB-dthao" xfId="122"/>
    <cellStyle name="_KT (2)_3_TG-TH_Lora-tungchau" xfId="123"/>
    <cellStyle name="_KT (2)_3_TG-TH_PERSONAL" xfId="124"/>
    <cellStyle name="_KT (2)_3_TG-TH_PERSONAL_HTQ.8 GD1" xfId="125"/>
    <cellStyle name="_KT (2)_3_TG-TH_PERSONAL_Tong hop KHCB 2001" xfId="126"/>
    <cellStyle name="_KT (2)_3_TG-TH_Qt-HT3PQ1(CauKho)" xfId="127"/>
    <cellStyle name="_KT (2)_4" xfId="128"/>
    <cellStyle name="_KT (2)_4_BAO CAO KLCT PT2000" xfId="129"/>
    <cellStyle name="_KT (2)_4_BAO CAO PT2000" xfId="130"/>
    <cellStyle name="_KT (2)_4_BAO CAO PT2000_Book1" xfId="131"/>
    <cellStyle name="_KT (2)_4_Bao cao XDCB 2001 - T11 KH dieu chinh 20-11-THAI" xfId="132"/>
    <cellStyle name="_KT (2)_4_Book1" xfId="133"/>
    <cellStyle name="_KT (2)_4_Book1_1" xfId="134"/>
    <cellStyle name="_KT (2)_4_Book1_2" xfId="135"/>
    <cellStyle name="_KT (2)_4_DTCDT MR.2N110.HOCMON.TDTOAN.CCUNG" xfId="136"/>
    <cellStyle name="_KT (2)_4_Lora-tungchau" xfId="137"/>
    <cellStyle name="_KT (2)_4_PGIA-phieu tham tra Kho bac" xfId="138"/>
    <cellStyle name="_KT (2)_4_PT02-02" xfId="139"/>
    <cellStyle name="_KT (2)_4_PT02-02_Book1" xfId="140"/>
    <cellStyle name="_KT (2)_4_PT02-03" xfId="141"/>
    <cellStyle name="_KT (2)_4_PT02-03_Book1" xfId="142"/>
    <cellStyle name="_KT (2)_4_Qt-HT3PQ1(CauKho)" xfId="143"/>
    <cellStyle name="_KT (2)_4_TG-TH" xfId="144"/>
    <cellStyle name="_KT (2)_5" xfId="145"/>
    <cellStyle name="_KT (2)_5_BAO CAO KLCT PT2000" xfId="146"/>
    <cellStyle name="_KT (2)_5_BAO CAO PT2000" xfId="147"/>
    <cellStyle name="_KT (2)_5_BAO CAO PT2000_Book1" xfId="148"/>
    <cellStyle name="_KT (2)_5_Bao cao XDCB 2001 - T11 KH dieu chinh 20-11-THAI" xfId="149"/>
    <cellStyle name="_KT (2)_5_Book1" xfId="150"/>
    <cellStyle name="_KT (2)_5_Book1_1" xfId="151"/>
    <cellStyle name="_KT (2)_5_Book1_2" xfId="152"/>
    <cellStyle name="_KT (2)_5_Book1_BC-QT-WB-dthao" xfId="153"/>
    <cellStyle name="_KT (2)_5_DTCDT MR.2N110.HOCMON.TDTOAN.CCUNG" xfId="154"/>
    <cellStyle name="_KT (2)_5_Lora-tungchau" xfId="155"/>
    <cellStyle name="_KT (2)_5_PGIA-phieu tham tra Kho bac" xfId="156"/>
    <cellStyle name="_KT (2)_5_PT02-02" xfId="157"/>
    <cellStyle name="_KT (2)_5_PT02-02_Book1" xfId="158"/>
    <cellStyle name="_KT (2)_5_PT02-03" xfId="159"/>
    <cellStyle name="_KT (2)_5_PT02-03_Book1" xfId="160"/>
    <cellStyle name="_KT (2)_5_Qt-HT3PQ1(CauKho)" xfId="161"/>
    <cellStyle name="_KT (2)_Book1" xfId="162"/>
    <cellStyle name="_KT (2)_Book1_BC-QT-WB-dthao" xfId="163"/>
    <cellStyle name="_KT (2)_Lora-tungchau" xfId="164"/>
    <cellStyle name="_KT (2)_PERSONAL" xfId="165"/>
    <cellStyle name="_KT (2)_PERSONAL_HTQ.8 GD1" xfId="166"/>
    <cellStyle name="_KT (2)_PERSONAL_Tong hop KHCB 2001" xfId="167"/>
    <cellStyle name="_KT (2)_Qt-HT3PQ1(CauKho)" xfId="168"/>
    <cellStyle name="_KT (2)_TG-TH" xfId="169"/>
    <cellStyle name="_KT_TG" xfId="170"/>
    <cellStyle name="_KT_TG_1" xfId="171"/>
    <cellStyle name="_KT_TG_1_BAO CAO KLCT PT2000" xfId="172"/>
    <cellStyle name="_KT_TG_1_BAO CAO PT2000" xfId="173"/>
    <cellStyle name="_KT_TG_1_BAO CAO PT2000_Book1" xfId="174"/>
    <cellStyle name="_KT_TG_1_Bao cao XDCB 2001 - T11 KH dieu chinh 20-11-THAI" xfId="175"/>
    <cellStyle name="_KT_TG_1_Book1" xfId="176"/>
    <cellStyle name="_KT_TG_1_Book1_1" xfId="177"/>
    <cellStyle name="_KT_TG_1_Book1_2" xfId="178"/>
    <cellStyle name="_KT_TG_1_Book1_BC-QT-WB-dthao" xfId="179"/>
    <cellStyle name="_KT_TG_1_DTCDT MR.2N110.HOCMON.TDTOAN.CCUNG" xfId="180"/>
    <cellStyle name="_KT_TG_1_Lora-tungchau" xfId="181"/>
    <cellStyle name="_KT_TG_1_PGIA-phieu tham tra Kho bac" xfId="182"/>
    <cellStyle name="_KT_TG_1_PT02-02" xfId="183"/>
    <cellStyle name="_KT_TG_1_PT02-02_Book1" xfId="184"/>
    <cellStyle name="_KT_TG_1_PT02-03" xfId="185"/>
    <cellStyle name="_KT_TG_1_PT02-03_Book1" xfId="186"/>
    <cellStyle name="_KT_TG_1_Qt-HT3PQ1(CauKho)" xfId="187"/>
    <cellStyle name="_KT_TG_2" xfId="188"/>
    <cellStyle name="_KT_TG_2_BAO CAO KLCT PT2000" xfId="189"/>
    <cellStyle name="_KT_TG_2_BAO CAO PT2000" xfId="190"/>
    <cellStyle name="_KT_TG_2_BAO CAO PT2000_Book1" xfId="191"/>
    <cellStyle name="_KT_TG_2_Bao cao XDCB 2001 - T11 KH dieu chinh 20-11-THAI" xfId="192"/>
    <cellStyle name="_KT_TG_2_Book1" xfId="193"/>
    <cellStyle name="_KT_TG_2_Book1_1" xfId="194"/>
    <cellStyle name="_KT_TG_2_Book1_2" xfId="195"/>
    <cellStyle name="_KT_TG_2_DTCDT MR.2N110.HOCMON.TDTOAN.CCUNG" xfId="196"/>
    <cellStyle name="_KT_TG_2_Lora-tungchau" xfId="197"/>
    <cellStyle name="_KT_TG_2_PGIA-phieu tham tra Kho bac" xfId="198"/>
    <cellStyle name="_KT_TG_2_PT02-02" xfId="199"/>
    <cellStyle name="_KT_TG_2_PT02-02_Book1" xfId="200"/>
    <cellStyle name="_KT_TG_2_PT02-03" xfId="201"/>
    <cellStyle name="_KT_TG_2_PT02-03_Book1" xfId="202"/>
    <cellStyle name="_KT_TG_2_Qt-HT3PQ1(CauKho)" xfId="203"/>
    <cellStyle name="_KT_TG_3" xfId="204"/>
    <cellStyle name="_KT_TG_4" xfId="205"/>
    <cellStyle name="_KT_TG_4_Lora-tungchau" xfId="206"/>
    <cellStyle name="_KT_TG_4_Qt-HT3PQ1(CauKho)" xfId="207"/>
    <cellStyle name="_Lora-tungchau" xfId="208"/>
    <cellStyle name="_nhatkycongviec" xfId="209"/>
    <cellStyle name="_NS DANH MUC  CONGVIEC" xfId="210"/>
    <cellStyle name="_NS DANH MUC  CONGVIEC_J&amp;J BCC+BL 082011 v2" xfId="211"/>
    <cellStyle name="_NS DANH MUC  CONGVIEC_thaotuan luong 102011 v2" xfId="212"/>
    <cellStyle name="_PERSONAL" xfId="213"/>
    <cellStyle name="_PERSONAL_HTQ.8 GD1" xfId="214"/>
    <cellStyle name="_PERSONAL_Tong hop KHCB 2001" xfId="215"/>
    <cellStyle name="_phieu yeu cau bo sung thong tin." xfId="216"/>
    <cellStyle name="_Qt-HT3PQ1(CauKho)" xfId="217"/>
    <cellStyle name="_TG-TH" xfId="218"/>
    <cellStyle name="_TG-TH_1" xfId="219"/>
    <cellStyle name="_TG-TH_1_BAO CAO KLCT PT2000" xfId="220"/>
    <cellStyle name="_TG-TH_1_BAO CAO PT2000" xfId="221"/>
    <cellStyle name="_TG-TH_1_BAO CAO PT2000_Book1" xfId="222"/>
    <cellStyle name="_TG-TH_1_Bao cao XDCB 2001 - T11 KH dieu chinh 20-11-THAI" xfId="223"/>
    <cellStyle name="_TG-TH_1_Book1" xfId="224"/>
    <cellStyle name="_TG-TH_1_Book1_1" xfId="225"/>
    <cellStyle name="_TG-TH_1_Book1_2" xfId="226"/>
    <cellStyle name="_TG-TH_1_Book1_BC-QT-WB-dthao" xfId="227"/>
    <cellStyle name="_TG-TH_1_DTCDT MR.2N110.HOCMON.TDTOAN.CCUNG" xfId="228"/>
    <cellStyle name="_TG-TH_1_Lora-tungchau" xfId="229"/>
    <cellStyle name="_TG-TH_1_PGIA-phieu tham tra Kho bac" xfId="230"/>
    <cellStyle name="_TG-TH_1_PT02-02" xfId="231"/>
    <cellStyle name="_TG-TH_1_PT02-02_Book1" xfId="232"/>
    <cellStyle name="_TG-TH_1_PT02-03" xfId="233"/>
    <cellStyle name="_TG-TH_1_PT02-03_Book1" xfId="234"/>
    <cellStyle name="_TG-TH_1_Qt-HT3PQ1(CauKho)" xfId="235"/>
    <cellStyle name="_TG-TH_2" xfId="236"/>
    <cellStyle name="_TG-TH_2_BAO CAO KLCT PT2000" xfId="237"/>
    <cellStyle name="_TG-TH_2_BAO CAO PT2000" xfId="238"/>
    <cellStyle name="_TG-TH_2_BAO CAO PT2000_Book1" xfId="239"/>
    <cellStyle name="_TG-TH_2_Bao cao XDCB 2001 - T11 KH dieu chinh 20-11-THAI" xfId="240"/>
    <cellStyle name="_TG-TH_2_Book1" xfId="241"/>
    <cellStyle name="_TG-TH_2_Book1_1" xfId="242"/>
    <cellStyle name="_TG-TH_2_Book1_2" xfId="243"/>
    <cellStyle name="_TG-TH_2_DTCDT MR.2N110.HOCMON.TDTOAN.CCUNG" xfId="244"/>
    <cellStyle name="_TG-TH_2_Lora-tungchau" xfId="245"/>
    <cellStyle name="_TG-TH_2_PGIA-phieu tham tra Kho bac" xfId="246"/>
    <cellStyle name="_TG-TH_2_PT02-02" xfId="247"/>
    <cellStyle name="_TG-TH_2_PT02-02_Book1" xfId="248"/>
    <cellStyle name="_TG-TH_2_PT02-03" xfId="249"/>
    <cellStyle name="_TG-TH_2_PT02-03_Book1" xfId="250"/>
    <cellStyle name="_TG-TH_2_Qt-HT3PQ1(CauKho)" xfId="251"/>
    <cellStyle name="_TG-TH_3" xfId="252"/>
    <cellStyle name="_TG-TH_3_Lora-tungchau" xfId="253"/>
    <cellStyle name="_TG-TH_3_Qt-HT3PQ1(CauKho)" xfId="254"/>
    <cellStyle name="_TG-TH_4" xfId="255"/>
    <cellStyle name="_viva ky nang mem 1108" xfId="256"/>
    <cellStyle name="_viva ky nang mem 1108_J&amp;J BCC+BL 082011 v2" xfId="257"/>
    <cellStyle name="_viva ky nang mem 1108_thaotuan luong 102011 v2" xfId="258"/>
    <cellStyle name="_VIVA SO QUY 2009" xfId="259"/>
    <cellStyle name="_VV - BIEU MAU NOI BO" xfId="260"/>
    <cellStyle name="_VV - MT SWOT" xfId="261"/>
    <cellStyle name="_VV - MT SWOT_J&amp;J BCC+BL 082011 v2" xfId="262"/>
    <cellStyle name="_VV - MT SWOT_thaotuan luong 102011 v2" xfId="263"/>
    <cellStyle name="_vv bao gia dvns 0309" xfId="264"/>
    <cellStyle name="_vv bao gia mau 0309" xfId="265"/>
    <cellStyle name="_vv bao gia mau 0309_J&amp;J BCC+BL 082011 v2" xfId="266"/>
    <cellStyle name="_vv bao gia mau 0309_thaotuan luong 102011 v2" xfId="267"/>
    <cellStyle name="_vv bieu mau gui kh" xfId="268"/>
    <cellStyle name="_vv de nghi thanh toan" xfId="269"/>
    <cellStyle name="_vv memo" xfId="270"/>
    <cellStyle name="•W€_STDFOR" xfId="271"/>
    <cellStyle name="000," xfId="272"/>
    <cellStyle name="000,000" xfId="273"/>
    <cellStyle name="1" xfId="274"/>
    <cellStyle name="¹éºÐÀ²_      " xfId="275"/>
    <cellStyle name="2" xfId="276"/>
    <cellStyle name="20% - Accent1" xfId="277" builtinId="30" customBuiltin="1"/>
    <cellStyle name="20% - Accent2" xfId="278" builtinId="34" customBuiltin="1"/>
    <cellStyle name="20% - Accent3" xfId="279" builtinId="38" customBuiltin="1"/>
    <cellStyle name="20% - Accent4" xfId="280" builtinId="42" customBuiltin="1"/>
    <cellStyle name="20% - Accent5" xfId="281" builtinId="46" customBuiltin="1"/>
    <cellStyle name="20% - Accent6" xfId="282" builtinId="50" customBuiltin="1"/>
    <cellStyle name="3" xfId="283"/>
    <cellStyle name="4" xfId="284"/>
    <cellStyle name="40% - Accent1" xfId="285" builtinId="31" customBuiltin="1"/>
    <cellStyle name="40% - Accent2" xfId="286" builtinId="35" customBuiltin="1"/>
    <cellStyle name="40% - Accent3" xfId="287" builtinId="39" customBuiltin="1"/>
    <cellStyle name="40% - Accent4" xfId="288" builtinId="43" customBuiltin="1"/>
    <cellStyle name="40% - Accent5" xfId="289" builtinId="47" customBuiltin="1"/>
    <cellStyle name="40% - Accent6" xfId="290" builtinId="51" customBuiltin="1"/>
    <cellStyle name="60% - Accent1" xfId="291" builtinId="32" customBuiltin="1"/>
    <cellStyle name="60% - Accent2" xfId="292" builtinId="36" customBuiltin="1"/>
    <cellStyle name="60% - Accent3" xfId="293" builtinId="40" customBuiltin="1"/>
    <cellStyle name="60% - Accent4" xfId="294" builtinId="44" customBuiltin="1"/>
    <cellStyle name="60% - Accent5" xfId="295" builtinId="48" customBuiltin="1"/>
    <cellStyle name="60% - Accent6" xfId="296" builtinId="52" customBuiltin="1"/>
    <cellStyle name="a" xfId="297"/>
    <cellStyle name="Accent1" xfId="298" builtinId="29" customBuiltin="1"/>
    <cellStyle name="Accent2" xfId="299" builtinId="33" customBuiltin="1"/>
    <cellStyle name="Accent3" xfId="300" builtinId="37" customBuiltin="1"/>
    <cellStyle name="Accent4" xfId="301" builtinId="41" customBuiltin="1"/>
    <cellStyle name="Accent5" xfId="302" builtinId="45" customBuiltin="1"/>
    <cellStyle name="Accent6" xfId="303" builtinId="49" customBuiltin="1"/>
    <cellStyle name="ÅëÈ­ [0]_      " xfId="304"/>
    <cellStyle name="AeE­ [0]_INQUIRY ¿?¾÷AßAø " xfId="305"/>
    <cellStyle name="ÅëÈ­_      " xfId="306"/>
    <cellStyle name="AeE­_INQUIRY ¿?¾÷AßAø " xfId="307"/>
    <cellStyle name="ÅëÈ­_L601CPT" xfId="308"/>
    <cellStyle name="ÄÞ¸¶ [0]_      " xfId="309"/>
    <cellStyle name="AÞ¸¶ [0]_INQUIRY ¿?¾÷AßAø" xfId="310"/>
    <cellStyle name="ÄÞ¸¶ [0]_L601CPT" xfId="311"/>
    <cellStyle name="ÄÞ¸¶_      " xfId="312"/>
    <cellStyle name="AÞ¸¶_INQUIRY ¿?¾÷AßAø" xfId="313"/>
    <cellStyle name="ÄÞ¸¶_L601CPT" xfId="314"/>
    <cellStyle name="AutoFormat Options" xfId="315"/>
    <cellStyle name="Bad" xfId="316" builtinId="27" customBuiltin="1"/>
    <cellStyle name="Body" xfId="317"/>
    <cellStyle name="C?AØ_¿?¾÷CoE² " xfId="318"/>
    <cellStyle name="Ç¥ÁØ_      " xfId="319"/>
    <cellStyle name="C￥AØ_¿μ¾÷CoE² " xfId="320"/>
    <cellStyle name="Ç¥ÁØ_±¸¹Ì´ëÃ¥" xfId="321"/>
    <cellStyle name="Calc Currency (0)" xfId="322"/>
    <cellStyle name="Calc Currency (2)" xfId="323"/>
    <cellStyle name="Calc Percent (0)" xfId="324"/>
    <cellStyle name="Calc Percent (1)" xfId="325"/>
    <cellStyle name="Calc Percent (2)" xfId="326"/>
    <cellStyle name="Calc Units (0)" xfId="327"/>
    <cellStyle name="Calc Units (1)" xfId="328"/>
    <cellStyle name="Calc Units (2)" xfId="329"/>
    <cellStyle name="Calculation" xfId="330" builtinId="22" customBuiltin="1"/>
    <cellStyle name="category" xfId="331"/>
    <cellStyle name="CC1" xfId="332"/>
    <cellStyle name="CC2" xfId="333"/>
    <cellStyle name="Cerrency_Sheet2_XANGDAU" xfId="334"/>
    <cellStyle name="chchuyen" xfId="335"/>
    <cellStyle name="Check Cell" xfId="336" builtinId="23" customBuiltin="1"/>
    <cellStyle name="Comma" xfId="337" builtinId="3"/>
    <cellStyle name="Comma [00]" xfId="338"/>
    <cellStyle name="Comma [000,000]" xfId="339"/>
    <cellStyle name="Comma 000,000" xfId="340"/>
    <cellStyle name="Comma 2" xfId="341"/>
    <cellStyle name="Comma 2 2" xfId="342"/>
    <cellStyle name="Comma 3" xfId="343"/>
    <cellStyle name="comma zerodec" xfId="344"/>
    <cellStyle name="Comma0" xfId="345"/>
    <cellStyle name="CT1" xfId="346"/>
    <cellStyle name="CT2" xfId="347"/>
    <cellStyle name="CT4" xfId="348"/>
    <cellStyle name="CT5" xfId="349"/>
    <cellStyle name="ct7" xfId="350"/>
    <cellStyle name="ct8" xfId="351"/>
    <cellStyle name="cth1" xfId="352"/>
    <cellStyle name="Cthuc" xfId="353"/>
    <cellStyle name="Cthuc1" xfId="354"/>
    <cellStyle name="Currency [00]" xfId="355"/>
    <cellStyle name="Currency0" xfId="356"/>
    <cellStyle name="Currency1" xfId="357"/>
    <cellStyle name="d" xfId="358"/>
    <cellStyle name="D$_x0004_P??_x0010__x000b_?_x0015_?$_x0004_?_x000f_?" xfId="359"/>
    <cellStyle name="D$_x0004_P?_x0010__x000b_픲_x0015_딡$_x0004_뗈_x000f_?" xfId="360"/>
    <cellStyle name="d%" xfId="361"/>
    <cellStyle name="d1" xfId="362"/>
    <cellStyle name="Date" xfId="363"/>
    <cellStyle name="Date Short" xfId="364"/>
    <cellStyle name="Date_Book1" xfId="365"/>
    <cellStyle name="Dezimal [0]_UXO VII" xfId="366"/>
    <cellStyle name="Dezimal_UXO VII" xfId="367"/>
    <cellStyle name="Dollar (zero dec)" xfId="368"/>
    <cellStyle name="Enter Currency (0)" xfId="369"/>
    <cellStyle name="Enter Currency (2)" xfId="370"/>
    <cellStyle name="Enter Units (0)" xfId="371"/>
    <cellStyle name="Enter Units (1)" xfId="372"/>
    <cellStyle name="Enter Units (2)" xfId="373"/>
    <cellStyle name="Explanatory Text" xfId="374" builtinId="53" customBuiltin="1"/>
    <cellStyle name="Fixed" xfId="375"/>
    <cellStyle name="Good" xfId="376" builtinId="26" customBuiltin="1"/>
    <cellStyle name="Grey" xfId="377"/>
    <cellStyle name="HEADER" xfId="378"/>
    <cellStyle name="Header1" xfId="379"/>
    <cellStyle name="Header2" xfId="380"/>
    <cellStyle name="Heading 1" xfId="381" builtinId="16" customBuiltin="1"/>
    <cellStyle name="Heading 2" xfId="382" builtinId="17" customBuiltin="1"/>
    <cellStyle name="Heading 3" xfId="383" builtinId="18" customBuiltin="1"/>
    <cellStyle name="Heading 4" xfId="384" builtinId="19" customBuiltin="1"/>
    <cellStyle name="HEADING1" xfId="385"/>
    <cellStyle name="HEADING2" xfId="386"/>
    <cellStyle name="Hoa-Scholl" xfId="387"/>
    <cellStyle name="i·0" xfId="388"/>
    <cellStyle name="Îáû÷íûé_ÏÄÍÃ" xfId="389"/>
    <cellStyle name="Input" xfId="390" builtinId="20" customBuiltin="1"/>
    <cellStyle name="Input [yellow]" xfId="391"/>
    <cellStyle name="k" xfId="392"/>
    <cellStyle name="khanh" xfId="393"/>
    <cellStyle name="khoa2" xfId="394"/>
    <cellStyle name="kien1" xfId="395"/>
    <cellStyle name="Link Currency (0)" xfId="396"/>
    <cellStyle name="Link Currency (2)" xfId="397"/>
    <cellStyle name="Link Units (0)" xfId="398"/>
    <cellStyle name="Link Units (1)" xfId="399"/>
    <cellStyle name="Link Units (2)" xfId="400"/>
    <cellStyle name="Linked Cell" xfId="401" builtinId="24" customBuiltin="1"/>
    <cellStyle name="luc" xfId="402"/>
    <cellStyle name="luc2" xfId="403"/>
    <cellStyle name="Millares [0]_Well Timing" xfId="404"/>
    <cellStyle name="Millares_Well Timing" xfId="405"/>
    <cellStyle name="Môc" xfId="406"/>
    <cellStyle name="Model" xfId="407"/>
    <cellStyle name="Moneda [0]_Well Timing" xfId="408"/>
    <cellStyle name="Moneda_Well Timing" xfId="409"/>
    <cellStyle name="Monétaire [0]_TARIFFS DB" xfId="410"/>
    <cellStyle name="Monétaire_TARIFFS DB" xfId="411"/>
    <cellStyle name="n" xfId="412"/>
    <cellStyle name="n1" xfId="413"/>
    <cellStyle name="Neutral" xfId="414" builtinId="28" customBuiltin="1"/>
    <cellStyle name="New Times Roman" xfId="415"/>
    <cellStyle name="no dec" xfId="416"/>
    <cellStyle name="Non défini" xfId="417"/>
    <cellStyle name="Normal" xfId="0" builtinId="0"/>
    <cellStyle name="Normal - Style1" xfId="418"/>
    <cellStyle name="Normal 2" xfId="419"/>
    <cellStyle name="Normal_Book1" xfId="420"/>
    <cellStyle name="Normal_Sheet1" xfId="421"/>
    <cellStyle name="Normal1" xfId="422"/>
    <cellStyle name="Note" xfId="423" builtinId="10" customBuiltin="1"/>
    <cellStyle name="omma [0]_Mktg Prog" xfId="424"/>
    <cellStyle name="ormal_Sheet1_1" xfId="425"/>
    <cellStyle name="Output" xfId="426" builtinId="21" customBuiltin="1"/>
    <cellStyle name="Percent [0]" xfId="427"/>
    <cellStyle name="Percent [00]" xfId="428"/>
    <cellStyle name="Percent [2]" xfId="429"/>
    <cellStyle name="PrePop Currency (0)" xfId="430"/>
    <cellStyle name="PrePop Currency (2)" xfId="431"/>
    <cellStyle name="PrePop Units (0)" xfId="432"/>
    <cellStyle name="PrePop Units (1)" xfId="433"/>
    <cellStyle name="PrePop Units (2)" xfId="434"/>
    <cellStyle name="S—_x0008_" xfId="435"/>
    <cellStyle name="s1" xfId="436"/>
    <cellStyle name="Style 1" xfId="437"/>
    <cellStyle name="Style 10" xfId="438"/>
    <cellStyle name="Style 11" xfId="439"/>
    <cellStyle name="Style 12" xfId="440"/>
    <cellStyle name="Style 13" xfId="441"/>
    <cellStyle name="Style 14" xfId="442"/>
    <cellStyle name="Style 15" xfId="443"/>
    <cellStyle name="Style 16" xfId="444"/>
    <cellStyle name="Style 17" xfId="445"/>
    <cellStyle name="Style 18" xfId="446"/>
    <cellStyle name="Style 19" xfId="447"/>
    <cellStyle name="Style 2" xfId="448"/>
    <cellStyle name="Style 20" xfId="449"/>
    <cellStyle name="Style 21" xfId="450"/>
    <cellStyle name="Style 22" xfId="451"/>
    <cellStyle name="Style 23" xfId="452"/>
    <cellStyle name="Style 24" xfId="453"/>
    <cellStyle name="Style 25" xfId="454"/>
    <cellStyle name="Style 26" xfId="455"/>
    <cellStyle name="Style 27" xfId="456"/>
    <cellStyle name="Style 28" xfId="457"/>
    <cellStyle name="Style 29" xfId="458"/>
    <cellStyle name="Style 3" xfId="459"/>
    <cellStyle name="Style 30" xfId="460"/>
    <cellStyle name="Style 31" xfId="461"/>
    <cellStyle name="Style 32" xfId="462"/>
    <cellStyle name="Style 33" xfId="463"/>
    <cellStyle name="Style 34" xfId="464"/>
    <cellStyle name="Style 35" xfId="465"/>
    <cellStyle name="Style 36" xfId="466"/>
    <cellStyle name="Style 37" xfId="467"/>
    <cellStyle name="Style 38" xfId="468"/>
    <cellStyle name="Style 39" xfId="469"/>
    <cellStyle name="Style 4" xfId="470"/>
    <cellStyle name="Style 40" xfId="471"/>
    <cellStyle name="Style 41" xfId="472"/>
    <cellStyle name="Style 42" xfId="473"/>
    <cellStyle name="Style 43" xfId="474"/>
    <cellStyle name="Style 5" xfId="475"/>
    <cellStyle name="Style 6" xfId="476"/>
    <cellStyle name="Style 7" xfId="477"/>
    <cellStyle name="Style 8" xfId="478"/>
    <cellStyle name="Style 9" xfId="479"/>
    <cellStyle name="subhead" xfId="480"/>
    <cellStyle name="T" xfId="481"/>
    <cellStyle name="T_01 DUNGTIEN BIEU SX KINH DOANH" xfId="482"/>
    <cellStyle name="T_01 modul tvql 06 08 09" xfId="483"/>
    <cellStyle name="T_01 modul tvql 06 08 09_J&amp;J BCC+BL 082011 v2" xfId="484"/>
    <cellStyle name="T_01 modul tvql 06 08 09_thaotuan luong 102011 v2" xfId="485"/>
    <cellStyle name="T_Book1" xfId="486"/>
    <cellStyle name="T_Book1_01 DUNGTIEN BIEU SX KINH DOANH" xfId="487"/>
    <cellStyle name="T_Book1_01 modul tvql 06 08 09" xfId="488"/>
    <cellStyle name="T_Book1_01 modul tvql 06 08 09_DA - BL 062011 (new)" xfId="489"/>
    <cellStyle name="T_Book1_01 modul tvql 06 08 09_thaotuan luong 102011" xfId="490"/>
    <cellStyle name="T_Book1_01 modul tvql 06 08 09_thaotuan luong 102011 v2" xfId="491"/>
    <cellStyle name="T_Book1_DA - BL 062011 (new)" xfId="492"/>
    <cellStyle name="T_Book1_DAINAM" xfId="493"/>
    <cellStyle name="T_Book1_DAINAM_DA - BL 062011 (new)" xfId="494"/>
    <cellStyle name="T_Book1_DAINAM_thaotuan luong 102011" xfId="495"/>
    <cellStyle name="T_Book1_DAINAM_thaotuan luong 102011 v2" xfId="496"/>
    <cellStyle name="T_Book1_DSKH" xfId="497"/>
    <cellStyle name="T_Book1_DSKH_J&amp;J BCC+BL 082011 v2" xfId="498"/>
    <cellStyle name="T_Book1_DSKH_thaotuan luong 102011 v2" xfId="499"/>
    <cellStyle name="T_Book1_DUNG TIEN" xfId="500"/>
    <cellStyle name="T_Book1_DUNG TIEN MAUKETOAN" xfId="501"/>
    <cellStyle name="T_Book1_DUNG TIEN MAUKETOAN_J&amp;J BCC+BL 082011 v2" xfId="502"/>
    <cellStyle name="T_Book1_DUNG TIEN MAUKETOAN_thaotuan luong 102011 v2" xfId="503"/>
    <cellStyle name="T_Book1_DUNG TIEN_DA - BL 062011 (new)" xfId="504"/>
    <cellStyle name="T_Book1_DUNG TIEN_thaotuan luong 102011" xfId="505"/>
    <cellStyle name="T_Book1_DUNG TIEN_thaotuan luong 102011 v2" xfId="506"/>
    <cellStyle name="T_Book1_hiep thanh bao gia thang 2008" xfId="507"/>
    <cellStyle name="T_Book1_hiep thanh bao gia thang 2008_DA - BL 062011 (new)" xfId="508"/>
    <cellStyle name="T_Book1_hiep thanh bao gia thang 2008_thaotuan luong 102011" xfId="509"/>
    <cellStyle name="T_Book1_hiep thanh bao gia thang 2008_thaotuan luong 102011 v2" xfId="510"/>
    <cellStyle name="T_Book1_NS DANH MUC  CONGVIEC" xfId="511"/>
    <cellStyle name="T_Book1_NS DANH MUC  CONGVIEC_DA - BL 062011 (new)" xfId="512"/>
    <cellStyle name="T_Book1_NS DANH MUC  CONGVIEC_thaotuan luong 102011" xfId="513"/>
    <cellStyle name="T_Book1_NS DANH MUC  CONGVIEC_thaotuan luong 102011 v2" xfId="514"/>
    <cellStyle name="T_Book1_thaotuan luong 102011" xfId="515"/>
    <cellStyle name="T_Book1_thaotuan luong 102011 v2" xfId="516"/>
    <cellStyle name="T_Book1_VIVA SO QUY 2009" xfId="517"/>
    <cellStyle name="T_Book1_VIVA SO QUY 2009_J&amp;J BCC+BL 082011 v2" xfId="518"/>
    <cellStyle name="T_Book1_VIVA SO QUY 2009_thaotuan luong 102011 v2" xfId="519"/>
    <cellStyle name="T_Copy of VT - BHXH-Q.Phu Nhuan" xfId="520"/>
    <cellStyle name="T_Copy of VT - BHXH-Q.Phu Nhuan_DA - BL 062011 (new)" xfId="521"/>
    <cellStyle name="T_Copy of VT - BHXH-Q.Phu Nhuan_thaotuan luong 102011" xfId="522"/>
    <cellStyle name="T_Copy of VT - BHXH-Q.Phu Nhuan_thaotuan luong 102011 v2" xfId="523"/>
    <cellStyle name="T_DAINAM" xfId="524"/>
    <cellStyle name="T_DAINAM_J&amp;J BCC+BL 082011 v2" xfId="525"/>
    <cellStyle name="T_DAINAM_thaotuan luong 102011 v2" xfId="526"/>
    <cellStyle name="T_DSKH" xfId="527"/>
    <cellStyle name="T_DSKH_DA - BL 062011 (new)" xfId="528"/>
    <cellStyle name="T_DSKH_thaotuan luong 102011" xfId="529"/>
    <cellStyle name="T_DSKH_thaotuan luong 102011 v2" xfId="530"/>
    <cellStyle name="T_DUNG TIEN" xfId="531"/>
    <cellStyle name="T_DUNG TIEN MAUKETOAN" xfId="532"/>
    <cellStyle name="T_DUNG TIEN MAUKETOAN_DA - BL 062011 (new)" xfId="533"/>
    <cellStyle name="T_DUNG TIEN MAUKETOAN_thaotuan luong 102011" xfId="534"/>
    <cellStyle name="T_DUNG TIEN MAUKETOAN_thaotuan luong 102011 v2" xfId="535"/>
    <cellStyle name="T_DUNG TIEN_J&amp;J BCC+BL 082011 v2" xfId="536"/>
    <cellStyle name="T_DUNG TIEN_thaotuan luong 102011 v2" xfId="537"/>
    <cellStyle name="T_hiep thanh bao gia thang 2008" xfId="538"/>
    <cellStyle name="T_hiep thanh bao gia thang 2008_J&amp;J BCC+BL 082011 v2" xfId="539"/>
    <cellStyle name="T_hiep thanh bao gia thang 2008_thaotuan luong 102011 v2" xfId="540"/>
    <cellStyle name="T_HNC- BHXH quy 4-07" xfId="541"/>
    <cellStyle name="T_HNC- BHXH quy 4-07_DA - BL 062011 (new)" xfId="542"/>
    <cellStyle name="T_HNC- BHXH quy 4-07_thaotuan luong 102011" xfId="543"/>
    <cellStyle name="T_HNC- BHXH quy 4-07_thaotuan luong 102011 v2" xfId="544"/>
    <cellStyle name="T_J&amp;J BCC+BL 082011 v2" xfId="545"/>
    <cellStyle name="T_NS DANH MUC  CONGVIEC" xfId="546"/>
    <cellStyle name="T_NS DANH MUC  CONGVIEC_J&amp;J BCC+BL 082011 v2" xfId="547"/>
    <cellStyle name="T_NS DANH MUC  CONGVIEC_thaotuan luong 102011 v2" xfId="548"/>
    <cellStyle name="T_thaotuan luong 102011 v2" xfId="549"/>
    <cellStyle name="T_VIVA SO QUY 2009" xfId="550"/>
    <cellStyle name="T_VIVA SO QUY 2009_DA - BL 062011 (new)" xfId="551"/>
    <cellStyle name="T_VIVA SO QUY 2009_thaotuan luong 102011" xfId="552"/>
    <cellStyle name="T_VIVA SO QUY 2009_thaotuan luong 102011 v2" xfId="553"/>
    <cellStyle name="tde" xfId="554"/>
    <cellStyle name="Text Indent A" xfId="555"/>
    <cellStyle name="Text Indent B" xfId="556"/>
    <cellStyle name="Text Indent C" xfId="557"/>
    <cellStyle name="th" xfId="558"/>
    <cellStyle name="þ_x001d_ð¤_x000c_¯þ_x0014__x000d_¨þU_x0001_À_x0004_ _x0015__x000f__x0001__x0001_" xfId="559"/>
    <cellStyle name="Tiªu ®Ì" xfId="560"/>
    <cellStyle name="Times New Roman" xfId="561"/>
    <cellStyle name="TiÓu môc" xfId="562"/>
    <cellStyle name="Title" xfId="563" builtinId="15" customBuiltin="1"/>
    <cellStyle name="Total" xfId="564" builtinId="25" customBuiltin="1"/>
    <cellStyle name="Tusental (0)_pldt" xfId="565"/>
    <cellStyle name="Tusental_pldt" xfId="566"/>
    <cellStyle name="Valuta (0)_pldt" xfId="567"/>
    <cellStyle name="Valuta_pldt" xfId="568"/>
    <cellStyle name="viet" xfId="569"/>
    <cellStyle name="viet2" xfId="570"/>
    <cellStyle name="vntxt2" xfId="571"/>
    <cellStyle name="Währung [0]_UXO VII" xfId="572"/>
    <cellStyle name="Währung_UXO VII" xfId="573"/>
    <cellStyle name="Warning Text" xfId="574" builtinId="11" customBuiltin="1"/>
    <cellStyle name="xuan" xfId="575"/>
    <cellStyle name="Обычный_Elec-12 Fin" xfId="576"/>
    <cellStyle name="เครื่องหมายสกุลเงิน [0]_FTC_OFFER" xfId="577"/>
    <cellStyle name="เครื่องหมายสกุลเงิน_FTC_OFFER" xfId="578"/>
    <cellStyle name="ปกติ_FTC_OFFER" xfId="579"/>
    <cellStyle name=" [0.00]_ Att. 1- Cover" xfId="604"/>
    <cellStyle name="_ Att. 1- Cover" xfId="605"/>
    <cellStyle name="?_ Att. 1- Cover" xfId="606"/>
    <cellStyle name="똿뗦먛귟 [0.00]_PRODUCT DETAIL Q1" xfId="580"/>
    <cellStyle name="똿뗦먛귟_PRODUCT DETAIL Q1" xfId="581"/>
    <cellStyle name="믅됞 [0.00]_PRODUCT DETAIL Q1" xfId="582"/>
    <cellStyle name="믅됞_PRODUCT DETAIL Q1" xfId="583"/>
    <cellStyle name="백분율_95" xfId="584"/>
    <cellStyle name="뷭?_BOOKSHIP" xfId="585"/>
    <cellStyle name="쉼표 [0]_PCS-3~1" xfId="586"/>
    <cellStyle name="쉼표_EQ_ROOM cost" xfId="587"/>
    <cellStyle name="콤마 [0]_ 비목별 월별기술 " xfId="591"/>
    <cellStyle name="콤마_ 비목별 월별기술 " xfId="592"/>
    <cellStyle name="통화 [0]_1202" xfId="593"/>
    <cellStyle name="통화_1202" xfId="594"/>
    <cellStyle name="표준_(정보부문)월별인원계획" xfId="595"/>
    <cellStyle name="一般_00Q3902REV.1" xfId="588"/>
    <cellStyle name="千分位[0]_00Q3902REV.1" xfId="589"/>
    <cellStyle name="千分位_00Q3902REV.1" xfId="590"/>
    <cellStyle name="桁区切り [0.00]_List-dwg瑩畳䵜楡" xfId="596"/>
    <cellStyle name="桁区切り_List-dwgist-" xfId="597"/>
    <cellStyle name="標準_List-dwgis" xfId="598"/>
    <cellStyle name="貨幣 [0]_00Q3902REV.1" xfId="599"/>
    <cellStyle name="貨幣[0]_BRE" xfId="600"/>
    <cellStyle name="貨幣_00Q3902REV.1" xfId="601"/>
    <cellStyle name="通貨 [0.00]_List-dwgwg" xfId="602"/>
    <cellStyle name="通貨_List-dwgis" xfId="603"/>
  </cellStyles>
  <dxfs count="89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indexed="33"/>
  </sheetPr>
  <dimension ref="A1:AL21"/>
  <sheetViews>
    <sheetView tabSelected="1" workbookViewId="0">
      <selection activeCell="F6" sqref="F6"/>
    </sheetView>
  </sheetViews>
  <sheetFormatPr defaultRowHeight="12.75"/>
  <cols>
    <col min="1" max="1" width="5.5703125" customWidth="1"/>
    <col min="2" max="2" width="9.7109375" customWidth="1"/>
    <col min="3" max="3" width="25.140625" customWidth="1"/>
    <col min="4" max="4" width="11.42578125" customWidth="1"/>
    <col min="5" max="6" width="10.85546875" customWidth="1"/>
    <col min="7" max="8" width="9.7109375" customWidth="1"/>
    <col min="9" max="9" width="10.5703125" customWidth="1"/>
    <col min="10" max="10" width="5.140625" customWidth="1"/>
    <col min="11" max="11" width="10.5703125" customWidth="1"/>
    <col min="12" max="12" width="5.140625" customWidth="1"/>
    <col min="13" max="13" width="10.5703125" customWidth="1"/>
    <col min="14" max="14" width="5.140625" customWidth="1"/>
    <col min="15" max="15" width="10.5703125" customWidth="1"/>
    <col min="16" max="16" width="5.140625" customWidth="1"/>
    <col min="17" max="17" width="10.5703125" customWidth="1"/>
    <col min="18" max="18" width="5.140625" customWidth="1"/>
    <col min="19" max="19" width="10.5703125" customWidth="1"/>
    <col min="20" max="20" width="5.140625" customWidth="1"/>
    <col min="21" max="21" width="10.5703125" customWidth="1"/>
    <col min="22" max="22" width="5.140625" customWidth="1"/>
    <col min="23" max="23" width="10.5703125" customWidth="1"/>
    <col min="24" max="24" width="5.140625" customWidth="1"/>
    <col min="25" max="25" width="10.5703125" customWidth="1"/>
    <col min="26" max="26" width="5.140625" customWidth="1"/>
    <col min="27" max="27" width="10.5703125" customWidth="1"/>
    <col min="28" max="28" width="5.140625" customWidth="1"/>
    <col min="29" max="29" width="10.5703125" customWidth="1"/>
    <col min="30" max="30" width="5.140625" customWidth="1"/>
    <col min="31" max="31" width="10.5703125" customWidth="1"/>
    <col min="32" max="32" width="5.140625" customWidth="1"/>
    <col min="33" max="33" width="10.5703125" customWidth="1"/>
    <col min="34" max="34" width="12.5703125" customWidth="1"/>
    <col min="35" max="35" width="10.85546875" customWidth="1"/>
    <col min="36" max="36" width="13.28515625" customWidth="1"/>
    <col min="37" max="38" width="11.85546875" customWidth="1"/>
  </cols>
  <sheetData>
    <row r="1" spans="1:38" s="2" customFormat="1">
      <c r="A1" s="219" t="s">
        <v>97</v>
      </c>
      <c r="E1" s="40"/>
      <c r="F1" s="24"/>
      <c r="G1" s="24"/>
      <c r="H1" s="24"/>
      <c r="AI1" s="40"/>
      <c r="AJ1" s="40"/>
      <c r="AK1" s="40"/>
      <c r="AL1" s="40"/>
    </row>
    <row r="2" spans="1:38" s="2" customFormat="1">
      <c r="A2" s="220" t="s">
        <v>98</v>
      </c>
      <c r="E2" s="40"/>
      <c r="F2" s="24"/>
      <c r="G2" s="24"/>
      <c r="H2" s="24"/>
      <c r="AI2" s="40"/>
      <c r="AJ2" s="40"/>
      <c r="AK2" s="40"/>
      <c r="AL2" s="40"/>
    </row>
    <row r="3" spans="1:38" s="2" customFormat="1">
      <c r="A3" s="218"/>
      <c r="B3" s="96"/>
      <c r="E3" s="40"/>
      <c r="F3" s="24"/>
      <c r="G3" s="24"/>
      <c r="H3" s="24"/>
      <c r="AI3" s="40"/>
      <c r="AJ3" s="40"/>
      <c r="AK3" s="40"/>
      <c r="AL3" s="40"/>
    </row>
    <row r="4" spans="1:38" s="2" customFormat="1" ht="23.25" customHeight="1">
      <c r="B4" s="213"/>
      <c r="C4" s="213"/>
      <c r="D4" s="213"/>
      <c r="E4" s="213"/>
      <c r="F4" s="213" t="s">
        <v>32</v>
      </c>
      <c r="H4" s="213"/>
      <c r="I4" s="213"/>
      <c r="J4" s="213"/>
      <c r="K4" s="213"/>
      <c r="L4" s="213"/>
      <c r="N4" s="213"/>
      <c r="O4" s="213"/>
      <c r="P4" s="213"/>
      <c r="Q4" s="213"/>
      <c r="R4" s="213"/>
      <c r="S4" s="213"/>
      <c r="T4" s="213"/>
      <c r="U4" s="213"/>
      <c r="V4" s="213"/>
      <c r="W4" s="213"/>
      <c r="X4" s="213"/>
      <c r="Y4" s="213"/>
      <c r="Z4" s="213"/>
      <c r="AA4" s="213"/>
      <c r="AB4" s="213"/>
      <c r="AC4" s="213"/>
      <c r="AD4" s="213"/>
      <c r="AE4" s="213"/>
      <c r="AF4" s="213"/>
      <c r="AG4" s="213"/>
      <c r="AH4" s="213"/>
      <c r="AI4" s="213"/>
      <c r="AJ4" s="213"/>
      <c r="AK4" s="40"/>
      <c r="AL4" s="40"/>
    </row>
    <row r="5" spans="1:38" s="2" customFormat="1" ht="23.25" customHeight="1">
      <c r="B5" s="214"/>
      <c r="C5" s="214"/>
      <c r="D5" s="214"/>
      <c r="E5" s="214"/>
      <c r="F5" s="214" t="s">
        <v>99</v>
      </c>
      <c r="H5" s="214"/>
      <c r="I5" s="214"/>
      <c r="J5" s="214"/>
      <c r="K5" s="214"/>
      <c r="L5" s="214"/>
      <c r="N5" s="214"/>
      <c r="O5" s="214"/>
      <c r="P5" s="214"/>
      <c r="Q5" s="214"/>
      <c r="R5" s="214"/>
      <c r="S5" s="214"/>
      <c r="T5" s="214"/>
      <c r="U5" s="214"/>
      <c r="V5" s="214"/>
      <c r="W5" s="214"/>
      <c r="X5" s="214"/>
      <c r="Y5" s="214"/>
      <c r="Z5" s="214"/>
      <c r="AA5" s="214"/>
      <c r="AB5" s="214"/>
      <c r="AC5" s="214"/>
      <c r="AD5" s="214"/>
      <c r="AE5" s="214"/>
      <c r="AF5" s="214"/>
      <c r="AG5" s="214"/>
      <c r="AH5" s="214"/>
      <c r="AI5" s="214"/>
      <c r="AJ5" s="214"/>
      <c r="AK5" s="40"/>
      <c r="AL5" s="40"/>
    </row>
    <row r="6" spans="1:38" s="114" customFormat="1" ht="19.5" customHeight="1">
      <c r="A6" s="112"/>
      <c r="B6" s="112"/>
      <c r="C6" s="112"/>
      <c r="D6" s="112"/>
      <c r="E6" s="112"/>
      <c r="F6" s="112"/>
      <c r="G6" s="112"/>
      <c r="H6" s="112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2"/>
      <c r="W6" s="112"/>
      <c r="X6" s="112"/>
      <c r="Y6" s="112"/>
      <c r="Z6" s="112"/>
      <c r="AA6" s="112"/>
      <c r="AB6" s="112"/>
      <c r="AC6" s="112"/>
      <c r="AD6" s="112"/>
      <c r="AE6" s="112"/>
      <c r="AF6" s="112"/>
      <c r="AG6" s="112"/>
      <c r="AH6" s="112"/>
      <c r="AI6" s="112"/>
      <c r="AJ6" s="112"/>
      <c r="AK6" s="113"/>
      <c r="AL6" s="113"/>
    </row>
    <row r="7" spans="1:38" s="1" customFormat="1" ht="20.25" customHeight="1">
      <c r="A7" s="232" t="s">
        <v>19</v>
      </c>
      <c r="B7" s="232" t="s">
        <v>3</v>
      </c>
      <c r="C7" s="232" t="s">
        <v>1</v>
      </c>
      <c r="D7" s="232" t="s">
        <v>2</v>
      </c>
      <c r="E7" s="235" t="s">
        <v>49</v>
      </c>
      <c r="F7" s="235"/>
      <c r="G7" s="236" t="s">
        <v>84</v>
      </c>
      <c r="H7" s="237"/>
      <c r="I7" s="238"/>
      <c r="J7" s="236" t="s">
        <v>54</v>
      </c>
      <c r="K7" s="238"/>
      <c r="L7" s="236" t="s">
        <v>55</v>
      </c>
      <c r="M7" s="238"/>
      <c r="N7" s="236" t="s">
        <v>56</v>
      </c>
      <c r="O7" s="238"/>
      <c r="P7" s="236" t="s">
        <v>57</v>
      </c>
      <c r="Q7" s="238"/>
      <c r="R7" s="236" t="s">
        <v>58</v>
      </c>
      <c r="S7" s="238"/>
      <c r="T7" s="236" t="s">
        <v>59</v>
      </c>
      <c r="U7" s="238"/>
      <c r="V7" s="236" t="s">
        <v>60</v>
      </c>
      <c r="W7" s="238"/>
      <c r="X7" s="236" t="s">
        <v>61</v>
      </c>
      <c r="Y7" s="238"/>
      <c r="Z7" s="236" t="s">
        <v>62</v>
      </c>
      <c r="AA7" s="238"/>
      <c r="AB7" s="236" t="s">
        <v>63</v>
      </c>
      <c r="AC7" s="238"/>
      <c r="AD7" s="236" t="s">
        <v>64</v>
      </c>
      <c r="AE7" s="238"/>
      <c r="AF7" s="236" t="s">
        <v>65</v>
      </c>
      <c r="AG7" s="238"/>
      <c r="AH7" s="233" t="s">
        <v>95</v>
      </c>
      <c r="AI7" s="233" t="s">
        <v>22</v>
      </c>
      <c r="AJ7" s="233" t="s">
        <v>11</v>
      </c>
      <c r="AK7" s="94"/>
      <c r="AL7" s="94"/>
    </row>
    <row r="8" spans="1:38" s="1" customFormat="1" ht="20.25" customHeight="1">
      <c r="A8" s="232"/>
      <c r="B8" s="232"/>
      <c r="C8" s="232"/>
      <c r="D8" s="232"/>
      <c r="E8" s="158" t="s">
        <v>72</v>
      </c>
      <c r="F8" s="158">
        <v>2015</v>
      </c>
      <c r="G8" s="215" t="s">
        <v>85</v>
      </c>
      <c r="H8" s="215" t="s">
        <v>86</v>
      </c>
      <c r="I8" s="215"/>
      <c r="J8" s="157" t="s">
        <v>94</v>
      </c>
      <c r="K8" s="215" t="s">
        <v>93</v>
      </c>
      <c r="L8" s="215" t="s">
        <v>94</v>
      </c>
      <c r="M8" s="215" t="s">
        <v>93</v>
      </c>
      <c r="N8" s="215" t="s">
        <v>94</v>
      </c>
      <c r="O8" s="215" t="s">
        <v>93</v>
      </c>
      <c r="P8" s="215" t="s">
        <v>94</v>
      </c>
      <c r="Q8" s="215" t="s">
        <v>93</v>
      </c>
      <c r="R8" s="215" t="s">
        <v>94</v>
      </c>
      <c r="S8" s="215" t="s">
        <v>93</v>
      </c>
      <c r="T8" s="215" t="s">
        <v>94</v>
      </c>
      <c r="U8" s="215" t="s">
        <v>93</v>
      </c>
      <c r="V8" s="215" t="s">
        <v>94</v>
      </c>
      <c r="W8" s="215" t="s">
        <v>93</v>
      </c>
      <c r="X8" s="215" t="s">
        <v>94</v>
      </c>
      <c r="Y8" s="215" t="s">
        <v>93</v>
      </c>
      <c r="Z8" s="215" t="s">
        <v>94</v>
      </c>
      <c r="AA8" s="215" t="s">
        <v>93</v>
      </c>
      <c r="AB8" s="215" t="s">
        <v>94</v>
      </c>
      <c r="AC8" s="215" t="s">
        <v>93</v>
      </c>
      <c r="AD8" s="215" t="s">
        <v>94</v>
      </c>
      <c r="AE8" s="215" t="s">
        <v>93</v>
      </c>
      <c r="AF8" s="215" t="s">
        <v>94</v>
      </c>
      <c r="AG8" s="215" t="s">
        <v>93</v>
      </c>
      <c r="AH8" s="234"/>
      <c r="AI8" s="234"/>
      <c r="AJ8" s="234"/>
      <c r="AK8" s="94"/>
      <c r="AL8" s="94"/>
    </row>
    <row r="9" spans="1:38" s="2" customFormat="1" ht="14.25" customHeight="1">
      <c r="A9" s="116">
        <v>1</v>
      </c>
      <c r="B9" s="116">
        <v>1</v>
      </c>
      <c r="C9" s="116">
        <v>2</v>
      </c>
      <c r="D9" s="116">
        <v>3</v>
      </c>
      <c r="E9" s="116">
        <v>4</v>
      </c>
      <c r="F9" s="116">
        <v>5</v>
      </c>
      <c r="G9" s="116">
        <v>6</v>
      </c>
      <c r="H9" s="116">
        <v>7</v>
      </c>
      <c r="I9" s="116">
        <v>8</v>
      </c>
      <c r="J9" s="116">
        <v>9</v>
      </c>
      <c r="K9" s="116">
        <v>10</v>
      </c>
      <c r="L9" s="116">
        <v>11</v>
      </c>
      <c r="M9" s="116">
        <v>12</v>
      </c>
      <c r="N9" s="116">
        <v>13</v>
      </c>
      <c r="O9" s="116">
        <v>14</v>
      </c>
      <c r="P9" s="116">
        <v>15</v>
      </c>
      <c r="Q9" s="116">
        <v>16</v>
      </c>
      <c r="R9" s="116">
        <v>17</v>
      </c>
      <c r="S9" s="116">
        <v>18</v>
      </c>
      <c r="T9" s="116">
        <v>19</v>
      </c>
      <c r="U9" s="116">
        <v>20</v>
      </c>
      <c r="V9" s="116">
        <v>21</v>
      </c>
      <c r="W9" s="116">
        <v>22</v>
      </c>
      <c r="X9" s="116">
        <v>23</v>
      </c>
      <c r="Y9" s="116">
        <v>24</v>
      </c>
      <c r="Z9" s="116">
        <v>25</v>
      </c>
      <c r="AA9" s="116">
        <v>26</v>
      </c>
      <c r="AB9" s="116">
        <v>27</v>
      </c>
      <c r="AC9" s="116">
        <v>28</v>
      </c>
      <c r="AD9" s="116">
        <v>29</v>
      </c>
      <c r="AE9" s="116">
        <v>30</v>
      </c>
      <c r="AF9" s="116">
        <v>31</v>
      </c>
      <c r="AG9" s="116">
        <v>32</v>
      </c>
      <c r="AH9" s="116">
        <v>33</v>
      </c>
      <c r="AI9" s="116">
        <v>34</v>
      </c>
      <c r="AJ9" s="116">
        <v>35</v>
      </c>
      <c r="AK9" s="40"/>
      <c r="AL9" s="40"/>
    </row>
    <row r="10" spans="1:38" s="146" customFormat="1" ht="21.75" customHeight="1">
      <c r="A10" s="143">
        <f>IF(B10&lt;&gt;"",ROW()-9,"")</f>
        <v>1</v>
      </c>
      <c r="B10" s="143" t="s">
        <v>74</v>
      </c>
      <c r="C10" s="147" t="s">
        <v>100</v>
      </c>
      <c r="D10" s="143" t="s">
        <v>87</v>
      </c>
      <c r="E10" s="176">
        <v>4000000</v>
      </c>
      <c r="F10" s="176">
        <v>4000000</v>
      </c>
      <c r="G10" s="216" t="s">
        <v>101</v>
      </c>
      <c r="H10" s="216" t="s">
        <v>102</v>
      </c>
      <c r="I10" s="139"/>
      <c r="J10" s="139"/>
      <c r="K10" s="139">
        <f t="shared" ref="K10:K17" si="0">IF(ISNA(VLOOKUP($B10,DS_01,18,0)),0,VLOOKUP($B10,DS_01,18,0))</f>
        <v>4375000</v>
      </c>
      <c r="L10" s="139"/>
      <c r="M10" s="139">
        <f t="shared" ref="M10:M17" si="1">IF(ISNA(VLOOKUP($B10,DS_02,18,0)),0,VLOOKUP($B10,DS_02,18,0))</f>
        <v>4360000</v>
      </c>
      <c r="N10" s="139"/>
      <c r="O10" s="139">
        <f t="shared" ref="O10:O17" si="2">IF(ISNA(VLOOKUP($B10,DS_03,18,0)),0,VLOOKUP($B10,DS_03,18,0))</f>
        <v>4405000</v>
      </c>
      <c r="P10" s="139"/>
      <c r="Q10" s="139">
        <f t="shared" ref="Q10:Q17" si="3">IF(ISNA(VLOOKUP($B10,DS_04,18,0)),0,VLOOKUP($B10,DS_04,18,0))</f>
        <v>4375000</v>
      </c>
      <c r="R10" s="139"/>
      <c r="S10" s="139">
        <f t="shared" ref="S10:S17" si="4">IF(ISNA(VLOOKUP($B10,DS_05,18,0)),0,VLOOKUP($B10,DS_05,18,0))</f>
        <v>4375000</v>
      </c>
      <c r="T10" s="139"/>
      <c r="U10" s="139">
        <f t="shared" ref="U10:U17" si="5">IF(ISNA(VLOOKUP($B10,DS_06,18,0)),0,VLOOKUP($B10,DS_06,18,0))</f>
        <v>4390000</v>
      </c>
      <c r="V10" s="139"/>
      <c r="W10" s="139">
        <f t="shared" ref="W10:W17" si="6">IF(ISNA(VLOOKUP($B10,DS_07,18,0)),0,VLOOKUP($B10,DS_07,18,0))</f>
        <v>4390000</v>
      </c>
      <c r="X10" s="139"/>
      <c r="Y10" s="139">
        <f t="shared" ref="Y10:Y17" si="7">IF(ISNA(VLOOKUP($B10,DS_08,18,0)),0,VLOOKUP($B10,DS_08,18,0))</f>
        <v>4405000</v>
      </c>
      <c r="Z10" s="139"/>
      <c r="AA10" s="139">
        <f t="shared" ref="AA10:AA17" si="8">IF(ISNA(VLOOKUP($B10,DS_09,18,0)),0,VLOOKUP($B10,DS_09,18,0))</f>
        <v>4375000</v>
      </c>
      <c r="AB10" s="139"/>
      <c r="AC10" s="139">
        <f t="shared" ref="AC10:AC17" si="9">IF(ISNA(VLOOKUP($B10,DS_10,18,0)),0,VLOOKUP($B10,DS_10,18,0))</f>
        <v>4390000</v>
      </c>
      <c r="AD10" s="139"/>
      <c r="AE10" s="139">
        <f t="shared" ref="AE10:AE17" si="10">IF(ISNA(VLOOKUP($B10,DS_11,18,0)),0,VLOOKUP($B10,DS_11,18,0))</f>
        <v>4390000</v>
      </c>
      <c r="AF10" s="139"/>
      <c r="AG10" s="139">
        <f t="shared" ref="AG10:AG17" si="11">IF(ISNA(VLOOKUP($B10,DS_12,18,0)),0,VLOOKUP($B10,DS_12,18,0))</f>
        <v>4390000</v>
      </c>
      <c r="AH10" s="139">
        <f t="shared" ref="AH10:AH15" si="12">K10+M10+O10+Q10+S10+U10+W10+Y10+AA10+AC10+AE10+AG10</f>
        <v>52620000</v>
      </c>
      <c r="AI10" s="139"/>
      <c r="AJ10" s="139"/>
      <c r="AK10" s="144"/>
      <c r="AL10" s="145"/>
    </row>
    <row r="11" spans="1:38" s="2" customFormat="1" ht="21.75" customHeight="1">
      <c r="A11" s="143">
        <f t="shared" ref="A11:A16" si="13">IF(B11&lt;&gt;"",ROW()-9,"")</f>
        <v>2</v>
      </c>
      <c r="B11" s="143" t="s">
        <v>114</v>
      </c>
      <c r="C11" s="151" t="s">
        <v>110</v>
      </c>
      <c r="D11" s="143" t="s">
        <v>111</v>
      </c>
      <c r="E11" s="176">
        <v>5000000</v>
      </c>
      <c r="F11" s="176">
        <v>5000000</v>
      </c>
      <c r="G11" s="217" t="s">
        <v>112</v>
      </c>
      <c r="H11" s="216" t="s">
        <v>113</v>
      </c>
      <c r="I11" s="137"/>
      <c r="J11" s="137"/>
      <c r="K11" s="139">
        <f>IF(ISNA(VLOOKUP($B11,DS_01,18,0)),0,VLOOKUP($B11,DS_01,18,0))</f>
        <v>5375000</v>
      </c>
      <c r="L11" s="137"/>
      <c r="M11" s="139">
        <f>IF(ISNA(VLOOKUP($B11,DS_02,18,0)),0,VLOOKUP($B11,DS_02,18,0))</f>
        <v>5360000</v>
      </c>
      <c r="N11" s="137"/>
      <c r="O11" s="139">
        <f>IF(ISNA(VLOOKUP($B11,DS_03,18,0)),0,VLOOKUP($B11,DS_03,18,0))</f>
        <v>5405000</v>
      </c>
      <c r="P11" s="137"/>
      <c r="Q11" s="139">
        <f>IF(ISNA(VLOOKUP($B11,DS_04,18,0)),0,VLOOKUP($B11,DS_04,18,0))</f>
        <v>5375000</v>
      </c>
      <c r="R11" s="137"/>
      <c r="S11" s="139">
        <f>IF(ISNA(VLOOKUP($B11,DS_05,18,0)),0,VLOOKUP($B11,DS_05,18,0))</f>
        <v>0</v>
      </c>
      <c r="T11" s="137"/>
      <c r="U11" s="139">
        <f>IF(ISNA(VLOOKUP($B11,DS_06,18,0)),0,VLOOKUP($B11,DS_06,18,0))</f>
        <v>0</v>
      </c>
      <c r="V11" s="137"/>
      <c r="W11" s="139">
        <f>IF(ISNA(VLOOKUP($B11,DS_07,18,0)),0,VLOOKUP($B11,DS_07,18,0))</f>
        <v>0</v>
      </c>
      <c r="X11" s="137"/>
      <c r="Y11" s="139">
        <f>IF(ISNA(VLOOKUP($B11,DS_08,18,0)),0,VLOOKUP($B11,DS_08,18,0))</f>
        <v>0</v>
      </c>
      <c r="Z11" s="137"/>
      <c r="AA11" s="139">
        <f>IF(ISNA(VLOOKUP($B11,DS_09,18,0)),0,VLOOKUP($B11,DS_09,18,0))</f>
        <v>0</v>
      </c>
      <c r="AB11" s="137"/>
      <c r="AC11" s="139">
        <f>IF(ISNA(VLOOKUP($B11,DS_10,18,0)),0,VLOOKUP($B11,DS_10,18,0))</f>
        <v>0</v>
      </c>
      <c r="AD11" s="137"/>
      <c r="AE11" s="139">
        <f>IF(ISNA(VLOOKUP($B11,DS_11,18,0)),0,VLOOKUP($B11,DS_11,18,0))</f>
        <v>0</v>
      </c>
      <c r="AF11" s="137"/>
      <c r="AG11" s="139">
        <f>IF(ISNA(VLOOKUP($B11,DS_12,18,0)),0,VLOOKUP($B11,DS_12,18,0))</f>
        <v>0</v>
      </c>
      <c r="AH11" s="139">
        <f>K11+M11+O11+Q11+S11+U11+W11+Y11+AA11+AC11+AE11+AG11</f>
        <v>21515000</v>
      </c>
      <c r="AI11" s="137"/>
      <c r="AJ11" s="137"/>
      <c r="AK11" s="94"/>
      <c r="AL11" s="40"/>
    </row>
    <row r="12" spans="1:38" s="155" customFormat="1" ht="21.75" customHeight="1">
      <c r="A12" s="143">
        <f t="shared" si="13"/>
        <v>3</v>
      </c>
      <c r="B12" s="150" t="s">
        <v>75</v>
      </c>
      <c r="C12" s="151" t="s">
        <v>82</v>
      </c>
      <c r="D12" s="149" t="s">
        <v>81</v>
      </c>
      <c r="E12" s="152">
        <v>3200000</v>
      </c>
      <c r="F12" s="152">
        <v>3200000</v>
      </c>
      <c r="G12" s="217" t="s">
        <v>91</v>
      </c>
      <c r="H12" s="216" t="s">
        <v>92</v>
      </c>
      <c r="I12" s="152"/>
      <c r="J12" s="152"/>
      <c r="K12" s="139">
        <f t="shared" si="0"/>
        <v>3575000</v>
      </c>
      <c r="L12" s="152"/>
      <c r="M12" s="139">
        <f t="shared" si="1"/>
        <v>3560000</v>
      </c>
      <c r="N12" s="152"/>
      <c r="O12" s="139">
        <f t="shared" si="2"/>
        <v>3605000</v>
      </c>
      <c r="P12" s="152"/>
      <c r="Q12" s="139">
        <f t="shared" si="3"/>
        <v>3575000</v>
      </c>
      <c r="R12" s="152"/>
      <c r="S12" s="139">
        <f t="shared" si="4"/>
        <v>3575000</v>
      </c>
      <c r="T12" s="152"/>
      <c r="U12" s="139">
        <f t="shared" si="5"/>
        <v>3590000</v>
      </c>
      <c r="V12" s="152"/>
      <c r="W12" s="139">
        <f t="shared" si="6"/>
        <v>3590000</v>
      </c>
      <c r="X12" s="152"/>
      <c r="Y12" s="139">
        <f t="shared" si="7"/>
        <v>3605000</v>
      </c>
      <c r="Z12" s="152"/>
      <c r="AA12" s="139">
        <f t="shared" si="8"/>
        <v>3575000</v>
      </c>
      <c r="AB12" s="152"/>
      <c r="AC12" s="139">
        <f t="shared" si="9"/>
        <v>3590000</v>
      </c>
      <c r="AD12" s="152"/>
      <c r="AE12" s="139">
        <f t="shared" si="10"/>
        <v>3590000</v>
      </c>
      <c r="AF12" s="152"/>
      <c r="AG12" s="139">
        <f t="shared" si="11"/>
        <v>3590000</v>
      </c>
      <c r="AH12" s="139">
        <f t="shared" si="12"/>
        <v>43020000</v>
      </c>
      <c r="AI12" s="152"/>
      <c r="AJ12" s="152"/>
      <c r="AK12" s="153"/>
      <c r="AL12" s="154"/>
    </row>
    <row r="13" spans="1:38" s="155" customFormat="1" ht="21.75" customHeight="1">
      <c r="A13" s="143">
        <f t="shared" si="13"/>
        <v>4</v>
      </c>
      <c r="B13" s="150" t="s">
        <v>76</v>
      </c>
      <c r="C13" s="151" t="s">
        <v>88</v>
      </c>
      <c r="D13" s="149" t="s">
        <v>81</v>
      </c>
      <c r="E13" s="152">
        <v>5000000</v>
      </c>
      <c r="F13" s="152">
        <v>5000000</v>
      </c>
      <c r="G13" s="217" t="s">
        <v>89</v>
      </c>
      <c r="H13" s="217" t="s">
        <v>90</v>
      </c>
      <c r="I13" s="152"/>
      <c r="J13" s="152"/>
      <c r="K13" s="139">
        <f t="shared" si="0"/>
        <v>5375000</v>
      </c>
      <c r="L13" s="152"/>
      <c r="M13" s="139">
        <f t="shared" si="1"/>
        <v>5360000</v>
      </c>
      <c r="N13" s="152"/>
      <c r="O13" s="139">
        <f t="shared" si="2"/>
        <v>5405000</v>
      </c>
      <c r="P13" s="152"/>
      <c r="Q13" s="139">
        <f t="shared" si="3"/>
        <v>5375000</v>
      </c>
      <c r="R13" s="152"/>
      <c r="S13" s="139">
        <f t="shared" si="4"/>
        <v>5375000</v>
      </c>
      <c r="T13" s="152"/>
      <c r="U13" s="139">
        <f t="shared" si="5"/>
        <v>5390000</v>
      </c>
      <c r="V13" s="152"/>
      <c r="W13" s="139">
        <f t="shared" si="6"/>
        <v>5390000</v>
      </c>
      <c r="X13" s="152"/>
      <c r="Y13" s="139">
        <f t="shared" si="7"/>
        <v>5405000</v>
      </c>
      <c r="Z13" s="152"/>
      <c r="AA13" s="139">
        <f t="shared" si="8"/>
        <v>5375000</v>
      </c>
      <c r="AB13" s="152"/>
      <c r="AC13" s="139">
        <f t="shared" si="9"/>
        <v>5390000</v>
      </c>
      <c r="AD13" s="152"/>
      <c r="AE13" s="139">
        <f t="shared" si="10"/>
        <v>5390000</v>
      </c>
      <c r="AF13" s="152"/>
      <c r="AG13" s="139">
        <f t="shared" si="11"/>
        <v>5390000</v>
      </c>
      <c r="AH13" s="139">
        <f t="shared" si="12"/>
        <v>64620000</v>
      </c>
      <c r="AI13" s="152"/>
      <c r="AJ13" s="152"/>
      <c r="AK13" s="153"/>
      <c r="AL13" s="154"/>
    </row>
    <row r="14" spans="1:38" s="155" customFormat="1" ht="21.75" customHeight="1">
      <c r="A14" s="143">
        <f t="shared" si="13"/>
        <v>5</v>
      </c>
      <c r="B14" s="150" t="s">
        <v>77</v>
      </c>
      <c r="C14" s="225" t="s">
        <v>103</v>
      </c>
      <c r="D14" s="149" t="s">
        <v>83</v>
      </c>
      <c r="E14" s="152">
        <v>3200000</v>
      </c>
      <c r="F14" s="152">
        <v>3200000</v>
      </c>
      <c r="G14" s="217" t="s">
        <v>104</v>
      </c>
      <c r="H14" s="217" t="s">
        <v>105</v>
      </c>
      <c r="I14" s="152"/>
      <c r="J14" s="152"/>
      <c r="K14" s="139">
        <f t="shared" si="0"/>
        <v>3575000</v>
      </c>
      <c r="L14" s="152"/>
      <c r="M14" s="139">
        <f t="shared" si="1"/>
        <v>3560000</v>
      </c>
      <c r="N14" s="152"/>
      <c r="O14" s="139">
        <f t="shared" si="2"/>
        <v>3605000</v>
      </c>
      <c r="P14" s="152"/>
      <c r="Q14" s="139">
        <f t="shared" si="3"/>
        <v>3575000</v>
      </c>
      <c r="R14" s="152"/>
      <c r="S14" s="139">
        <f t="shared" si="4"/>
        <v>3575000</v>
      </c>
      <c r="T14" s="152"/>
      <c r="U14" s="139">
        <f t="shared" si="5"/>
        <v>3590000</v>
      </c>
      <c r="V14" s="152"/>
      <c r="W14" s="139">
        <f t="shared" si="6"/>
        <v>3590000</v>
      </c>
      <c r="X14" s="152"/>
      <c r="Y14" s="139">
        <f t="shared" si="7"/>
        <v>3605000</v>
      </c>
      <c r="Z14" s="152"/>
      <c r="AA14" s="139">
        <f t="shared" si="8"/>
        <v>3575000</v>
      </c>
      <c r="AB14" s="152"/>
      <c r="AC14" s="139">
        <f t="shared" si="9"/>
        <v>3590000</v>
      </c>
      <c r="AD14" s="152"/>
      <c r="AE14" s="139">
        <f t="shared" si="10"/>
        <v>3590000</v>
      </c>
      <c r="AF14" s="152"/>
      <c r="AG14" s="139">
        <f t="shared" si="11"/>
        <v>3590000</v>
      </c>
      <c r="AH14" s="139">
        <f t="shared" si="12"/>
        <v>43020000</v>
      </c>
      <c r="AI14" s="152"/>
      <c r="AJ14" s="152"/>
      <c r="AK14" s="153"/>
      <c r="AL14" s="154"/>
    </row>
    <row r="15" spans="1:38" s="2" customFormat="1" ht="21.75" customHeight="1">
      <c r="A15" s="143">
        <f>IF(B15&lt;&gt;"",ROW()-9,"")</f>
        <v>6</v>
      </c>
      <c r="B15" s="150" t="s">
        <v>106</v>
      </c>
      <c r="C15" s="225" t="s">
        <v>107</v>
      </c>
      <c r="D15" s="150" t="s">
        <v>83</v>
      </c>
      <c r="E15" s="152">
        <v>3000000</v>
      </c>
      <c r="F15" s="152">
        <v>3000000</v>
      </c>
      <c r="G15" s="217" t="s">
        <v>108</v>
      </c>
      <c r="H15" s="217" t="s">
        <v>109</v>
      </c>
      <c r="I15" s="17"/>
      <c r="J15" s="17"/>
      <c r="K15" s="139">
        <f t="shared" si="0"/>
        <v>0</v>
      </c>
      <c r="L15" s="17"/>
      <c r="M15" s="139">
        <f t="shared" si="1"/>
        <v>0</v>
      </c>
      <c r="N15" s="17"/>
      <c r="O15" s="139">
        <f t="shared" si="2"/>
        <v>0</v>
      </c>
      <c r="P15" s="17"/>
      <c r="Q15" s="139">
        <f t="shared" si="3"/>
        <v>0</v>
      </c>
      <c r="R15" s="17"/>
      <c r="S15" s="139">
        <f t="shared" si="4"/>
        <v>0</v>
      </c>
      <c r="T15" s="17"/>
      <c r="U15" s="139">
        <f t="shared" si="5"/>
        <v>0</v>
      </c>
      <c r="V15" s="17"/>
      <c r="W15" s="139">
        <f t="shared" si="6"/>
        <v>0</v>
      </c>
      <c r="X15" s="17"/>
      <c r="Y15" s="139">
        <f t="shared" si="7"/>
        <v>0</v>
      </c>
      <c r="Z15" s="17"/>
      <c r="AA15" s="139">
        <f t="shared" si="8"/>
        <v>0</v>
      </c>
      <c r="AB15" s="17"/>
      <c r="AC15" s="139">
        <f t="shared" si="9"/>
        <v>0</v>
      </c>
      <c r="AD15" s="17"/>
      <c r="AE15" s="139">
        <f t="shared" si="10"/>
        <v>0</v>
      </c>
      <c r="AF15" s="17"/>
      <c r="AG15" s="139">
        <f t="shared" si="11"/>
        <v>0</v>
      </c>
      <c r="AH15" s="139">
        <f t="shared" si="12"/>
        <v>0</v>
      </c>
      <c r="AI15" s="17"/>
      <c r="AJ15" s="17"/>
      <c r="AK15" s="94"/>
      <c r="AL15" s="40"/>
    </row>
    <row r="16" spans="1:38" s="2" customFormat="1" ht="21.75" customHeight="1">
      <c r="A16" s="143" t="str">
        <f t="shared" si="13"/>
        <v/>
      </c>
      <c r="B16" s="129"/>
      <c r="C16" s="136"/>
      <c r="D16" s="135"/>
      <c r="E16" s="137"/>
      <c r="F16" s="137"/>
      <c r="G16" s="137"/>
      <c r="H16" s="137"/>
      <c r="I16" s="137"/>
      <c r="J16" s="137"/>
      <c r="K16" s="139">
        <f t="shared" si="0"/>
        <v>0</v>
      </c>
      <c r="L16" s="137"/>
      <c r="M16" s="139">
        <f t="shared" si="1"/>
        <v>0</v>
      </c>
      <c r="N16" s="137"/>
      <c r="O16" s="139">
        <f t="shared" si="2"/>
        <v>0</v>
      </c>
      <c r="P16" s="137"/>
      <c r="Q16" s="139">
        <f t="shared" si="3"/>
        <v>0</v>
      </c>
      <c r="R16" s="137"/>
      <c r="S16" s="139">
        <f t="shared" si="4"/>
        <v>0</v>
      </c>
      <c r="T16" s="137"/>
      <c r="U16" s="139">
        <f t="shared" si="5"/>
        <v>0</v>
      </c>
      <c r="V16" s="137"/>
      <c r="W16" s="139">
        <f t="shared" si="6"/>
        <v>0</v>
      </c>
      <c r="X16" s="137"/>
      <c r="Y16" s="139">
        <f t="shared" si="7"/>
        <v>0</v>
      </c>
      <c r="Z16" s="137"/>
      <c r="AA16" s="139">
        <f t="shared" si="8"/>
        <v>0</v>
      </c>
      <c r="AB16" s="137"/>
      <c r="AC16" s="139">
        <f t="shared" si="9"/>
        <v>0</v>
      </c>
      <c r="AD16" s="137"/>
      <c r="AE16" s="139">
        <f t="shared" si="10"/>
        <v>0</v>
      </c>
      <c r="AF16" s="137"/>
      <c r="AG16" s="139">
        <f t="shared" si="11"/>
        <v>0</v>
      </c>
      <c r="AH16" s="139">
        <f>K16+M16+O16+Q16+S16+U16+W16+Y16+AA16+AC16+AE16+AG16</f>
        <v>0</v>
      </c>
      <c r="AI16" s="137"/>
      <c r="AJ16" s="137"/>
      <c r="AK16" s="94"/>
      <c r="AL16" s="40"/>
    </row>
    <row r="17" spans="1:38" s="2" customFormat="1" ht="21.75" customHeight="1">
      <c r="A17" s="143" t="str">
        <f t="shared" ref="A17" si="14">IF(B17&lt;&gt;"",ROW()-10,"")</f>
        <v/>
      </c>
      <c r="B17" s="129"/>
      <c r="C17" s="136"/>
      <c r="D17" s="135"/>
      <c r="E17" s="137"/>
      <c r="F17" s="137"/>
      <c r="G17" s="137"/>
      <c r="H17" s="137"/>
      <c r="I17" s="137"/>
      <c r="J17" s="137"/>
      <c r="K17" s="139">
        <f t="shared" si="0"/>
        <v>0</v>
      </c>
      <c r="L17" s="137"/>
      <c r="M17" s="139">
        <f t="shared" si="1"/>
        <v>0</v>
      </c>
      <c r="N17" s="137"/>
      <c r="O17" s="139">
        <f t="shared" si="2"/>
        <v>0</v>
      </c>
      <c r="P17" s="137"/>
      <c r="Q17" s="139">
        <f t="shared" si="3"/>
        <v>0</v>
      </c>
      <c r="R17" s="137"/>
      <c r="S17" s="139">
        <f t="shared" si="4"/>
        <v>0</v>
      </c>
      <c r="T17" s="137"/>
      <c r="U17" s="139">
        <f t="shared" si="5"/>
        <v>0</v>
      </c>
      <c r="V17" s="137"/>
      <c r="W17" s="139">
        <f t="shared" si="6"/>
        <v>0</v>
      </c>
      <c r="X17" s="137"/>
      <c r="Y17" s="139">
        <f t="shared" si="7"/>
        <v>0</v>
      </c>
      <c r="Z17" s="137"/>
      <c r="AA17" s="139">
        <f t="shared" si="8"/>
        <v>0</v>
      </c>
      <c r="AB17" s="137"/>
      <c r="AC17" s="139">
        <f t="shared" si="9"/>
        <v>0</v>
      </c>
      <c r="AD17" s="137"/>
      <c r="AE17" s="139">
        <f t="shared" si="10"/>
        <v>0</v>
      </c>
      <c r="AF17" s="137"/>
      <c r="AG17" s="139">
        <f t="shared" si="11"/>
        <v>0</v>
      </c>
      <c r="AH17" s="139">
        <f>K17+M17+O17+Q17+S17+U17+W17+Y17+AA17+AC17+AE17+AG17</f>
        <v>0</v>
      </c>
      <c r="AI17" s="137"/>
      <c r="AJ17" s="137"/>
      <c r="AK17" s="94"/>
      <c r="AL17" s="40"/>
    </row>
    <row r="18" spans="1:38" s="2" customFormat="1" ht="21.75" customHeight="1">
      <c r="A18" s="226" t="s">
        <v>23</v>
      </c>
      <c r="B18" s="227"/>
      <c r="C18" s="227"/>
      <c r="D18" s="140" t="s">
        <v>96</v>
      </c>
      <c r="E18" s="138">
        <f>SUM(E10:E17)</f>
        <v>23400000</v>
      </c>
      <c r="F18" s="138">
        <f>SUM(F10:F17)</f>
        <v>23400000</v>
      </c>
      <c r="G18" s="138"/>
      <c r="H18" s="138"/>
      <c r="I18" s="138"/>
      <c r="J18" s="138"/>
      <c r="K18" s="138">
        <f>SUMIF(J$10:J$17,"x",$E$10:$E$17)</f>
        <v>0</v>
      </c>
      <c r="L18" s="138"/>
      <c r="M18" s="138">
        <f>SUMIF(L$10:L$17,"x",$E$10:$E$17)</f>
        <v>0</v>
      </c>
      <c r="N18" s="138"/>
      <c r="O18" s="138">
        <f>SUMIF(N$10:N$17,"x",$E$10:$E$17)</f>
        <v>0</v>
      </c>
      <c r="P18" s="138"/>
      <c r="Q18" s="138">
        <f>SUMIF(P$10:P$17,"x",$E$10:$E$17)</f>
        <v>0</v>
      </c>
      <c r="R18" s="138"/>
      <c r="S18" s="138">
        <f>SUMIF(R$10:R$17,"x",$E$10:$E$17)</f>
        <v>0</v>
      </c>
      <c r="T18" s="138"/>
      <c r="U18" s="138">
        <f>SUMIF(T$10:T$17,"x",$E$10:$E$17)</f>
        <v>0</v>
      </c>
      <c r="V18" s="138"/>
      <c r="W18" s="138">
        <f>SUMIF(V$10:V$17,"x",$E$10:$E$17)</f>
        <v>0</v>
      </c>
      <c r="X18" s="138"/>
      <c r="Y18" s="138">
        <f>SUMIF(X$10:X$17,"x",$E$10:$E$17)</f>
        <v>0</v>
      </c>
      <c r="Z18" s="138"/>
      <c r="AA18" s="138">
        <f>SUMIF(Z$10:Z$17,"x",$E$10:$E$17)</f>
        <v>0</v>
      </c>
      <c r="AB18" s="138"/>
      <c r="AC18" s="138">
        <f>SUMIF(AB$10:AB$17,"x",$E$10:$E$17)</f>
        <v>0</v>
      </c>
      <c r="AD18" s="138"/>
      <c r="AE18" s="138">
        <f>SUMIF(AD$10:AD$17,"x",$E$10:$E$17)</f>
        <v>0</v>
      </c>
      <c r="AF18" s="138"/>
      <c r="AG18" s="138">
        <f>SUMIF(AF$10:AF$17,"x",$E$10:$E$17)</f>
        <v>0</v>
      </c>
      <c r="AH18" s="138">
        <f t="shared" ref="AH18:AH20" si="15">K18+M18+O18+Q18+S18+U18+W18+Y18+AA18+AC18+AE18+AG18</f>
        <v>0</v>
      </c>
      <c r="AI18" s="138"/>
      <c r="AJ18" s="138"/>
      <c r="AK18" s="94"/>
      <c r="AL18" s="40"/>
    </row>
    <row r="19" spans="1:38" s="2" customFormat="1" ht="21.75" customHeight="1">
      <c r="A19" s="228"/>
      <c r="B19" s="229"/>
      <c r="C19" s="229"/>
      <c r="D19" s="140" t="s">
        <v>66</v>
      </c>
      <c r="E19" s="138"/>
      <c r="F19" s="138"/>
      <c r="G19" s="138"/>
      <c r="H19" s="138"/>
      <c r="I19" s="138"/>
      <c r="J19" s="138">
        <f t="array" ref="J19">SUM((J$10:J$17="x")*1)</f>
        <v>0</v>
      </c>
      <c r="K19" s="138"/>
      <c r="L19" s="138">
        <f t="array" ref="L19">SUM((L$10:L$17="x")*1)</f>
        <v>0</v>
      </c>
      <c r="M19" s="138"/>
      <c r="N19" s="138">
        <f t="array" ref="N19">SUM((N$10:N$17="x")*1)</f>
        <v>0</v>
      </c>
      <c r="O19" s="138"/>
      <c r="P19" s="138">
        <f t="array" ref="P19">SUM((P$10:P$17="x")*1)</f>
        <v>0</v>
      </c>
      <c r="Q19" s="138"/>
      <c r="R19" s="138">
        <f t="array" ref="R19">SUM((R$10:R$17="x")*1)</f>
        <v>0</v>
      </c>
      <c r="S19" s="138"/>
      <c r="T19" s="138">
        <f t="array" ref="T19">SUM((T$10:T$17="x")*1)</f>
        <v>0</v>
      </c>
      <c r="U19" s="138"/>
      <c r="V19" s="138">
        <f t="array" ref="V19">SUM((V$10:V$17="x")*1)</f>
        <v>0</v>
      </c>
      <c r="W19" s="138"/>
      <c r="X19" s="138">
        <f t="array" ref="X19">SUM((X$10:X$17="x")*1)</f>
        <v>0</v>
      </c>
      <c r="Y19" s="138"/>
      <c r="Z19" s="138">
        <f t="array" ref="Z19">SUM((Z$10:Z$17="x")*1)</f>
        <v>0</v>
      </c>
      <c r="AA19" s="138"/>
      <c r="AB19" s="138">
        <f t="array" ref="AB19">SUM((AB$10:AB$17="x")*1)</f>
        <v>0</v>
      </c>
      <c r="AC19" s="138"/>
      <c r="AD19" s="138">
        <f t="array" ref="AD19">SUM((AD$10:AD$17="x")*1)</f>
        <v>0</v>
      </c>
      <c r="AE19" s="138"/>
      <c r="AF19" s="138">
        <f t="array" ref="AF19">SUM((AF$10:AF$17="x")*1)</f>
        <v>0</v>
      </c>
      <c r="AG19" s="138"/>
      <c r="AH19" s="138"/>
      <c r="AI19" s="138"/>
      <c r="AJ19" s="138"/>
      <c r="AK19" s="94"/>
      <c r="AL19" s="40"/>
    </row>
    <row r="20" spans="1:38" s="2" customFormat="1" ht="21.75" customHeight="1">
      <c r="A20" s="230"/>
      <c r="B20" s="231"/>
      <c r="C20" s="231"/>
      <c r="D20" s="140" t="s">
        <v>67</v>
      </c>
      <c r="E20" s="138"/>
      <c r="F20" s="138"/>
      <c r="G20" s="138"/>
      <c r="H20" s="138"/>
      <c r="I20" s="138"/>
      <c r="J20" s="138"/>
      <c r="K20" s="138">
        <f>SUM(K10:K17)</f>
        <v>22275000</v>
      </c>
      <c r="L20" s="138"/>
      <c r="M20" s="138">
        <f>SUM(M10:M17)</f>
        <v>22200000</v>
      </c>
      <c r="N20" s="138"/>
      <c r="O20" s="138">
        <f t="shared" ref="O20:AG20" si="16">SUM(O10:O17)</f>
        <v>22425000</v>
      </c>
      <c r="P20" s="138"/>
      <c r="Q20" s="138">
        <f t="shared" si="16"/>
        <v>22275000</v>
      </c>
      <c r="R20" s="138"/>
      <c r="S20" s="138">
        <f t="shared" si="16"/>
        <v>16900000</v>
      </c>
      <c r="T20" s="138"/>
      <c r="U20" s="138">
        <f t="shared" si="16"/>
        <v>16960000</v>
      </c>
      <c r="V20" s="138"/>
      <c r="W20" s="138">
        <f t="shared" si="16"/>
        <v>16960000</v>
      </c>
      <c r="X20" s="138"/>
      <c r="Y20" s="138">
        <f t="shared" si="16"/>
        <v>17020000</v>
      </c>
      <c r="Z20" s="138"/>
      <c r="AA20" s="138">
        <f t="shared" si="16"/>
        <v>16900000</v>
      </c>
      <c r="AB20" s="138"/>
      <c r="AC20" s="138">
        <f t="shared" si="16"/>
        <v>16960000</v>
      </c>
      <c r="AD20" s="138"/>
      <c r="AE20" s="138">
        <f t="shared" si="16"/>
        <v>16960000</v>
      </c>
      <c r="AF20" s="138"/>
      <c r="AG20" s="138">
        <f t="shared" si="16"/>
        <v>16960000</v>
      </c>
      <c r="AH20" s="138">
        <f t="shared" si="15"/>
        <v>224795000</v>
      </c>
      <c r="AI20" s="138"/>
      <c r="AJ20" s="138"/>
      <c r="AK20" s="94"/>
      <c r="AL20" s="40"/>
    </row>
    <row r="21" spans="1:38" s="2" customFormat="1" ht="11.25" customHeight="1">
      <c r="A21" s="18"/>
      <c r="B21" s="18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40"/>
      <c r="AL21" s="40"/>
    </row>
  </sheetData>
  <protectedRanges>
    <protectedRange password="CC78" sqref="B7:D8 AI7:AI8 F7:H7 C22:JS65165 B21:B65165 B9:AJ9 J15 L15 N15 P15 T15 V15 R15 X15 Z15 AB15 AD15 AK7:JS10 AF15:JS15 J16:JS20 AG12:JS14 AE12:AE15 S12:S15 Q12:Q15 O12:O15 M12:M15 K12:K15 U12:U15 W12:W15 AA12:AA15 Y12:Y15 AC12:AC15 J11:JS11 C16:H20 J10:AJ10 A7:A65165" name="Range1"/>
    <protectedRange password="CC78" sqref="O4:JS6 A6:N6 F4 H4:L5 N4:N5 B4:E5" name="Range1_2"/>
    <protectedRange password="CC78" sqref="I7:AH8 I10:I20" name="Range1_3"/>
    <protectedRange password="CC78" sqref="B16:B20" name="Range1_1"/>
    <protectedRange password="CC78" sqref="E7:E8 F8" name="Range1_4"/>
    <protectedRange password="CC78" sqref="AG11 AE11 AC11 Y11 AA11 W11 U11 K11 M11 O11 Q11 S11 S15:S17 Q15:Q17 O15:O17 M15:M17 K15:K17 U15:U17 W15:W17 AA15:AA17 Y15:Y17 AC15:AC17 AE15:AE17 AG15:AG17 J10:AG10 J12:AG14" name="Range1_11"/>
    <protectedRange password="CC78" sqref="F5" name="Range1_2_1"/>
    <protectedRange password="CC78" sqref="B12:B15" name="Range1_6_1_1"/>
    <protectedRange password="CC78" sqref="D15" name="Range1_5_2"/>
    <protectedRange password="CC78" sqref="D12" name="Range1_7_1"/>
    <protectedRange password="CC78" sqref="D14" name="Range1_7_1_1_1"/>
    <protectedRange password="CC78" sqref="E14:F15 E10:F10 E12:F12" name="Range1_7"/>
    <protectedRange password="CC78" sqref="G14" name="Range1_11_2_1"/>
    <protectedRange password="CC78" sqref="G15" name="Range1_11_3"/>
    <protectedRange password="CC78" sqref="G10" name="Range1_16"/>
    <protectedRange password="CC78" sqref="G10" name="Range1_11_4"/>
    <protectedRange password="CC78" sqref="C14" name="Range1_5_2_1"/>
    <protectedRange password="CC78" sqref="C15" name="Range1_5_3"/>
    <protectedRange password="CC78" sqref="H10" name="Range1_9"/>
    <protectedRange password="CC78" sqref="H10" name="Range1_11_5"/>
    <protectedRange password="CC78" sqref="H14:H15" name="Range1_11_1_2"/>
    <protectedRange password="CC78" sqref="G12" name="Range1_11_1_1"/>
    <protectedRange password="CC78" sqref="H12" name="Range1_3_2_1"/>
    <protectedRange password="CC78" sqref="E13:F13" name="Range1_8"/>
    <protectedRange password="CC78" sqref="D13" name="Range1_7_1_1"/>
    <protectedRange password="CC78" sqref="G13" name="Range1_11_1"/>
    <protectedRange password="CC78" sqref="H13" name="Range1_3_3"/>
    <protectedRange password="CC78" sqref="E11:F11" name="Range1_8_1"/>
    <protectedRange password="CC78" sqref="G11" name="Range1_11_1_3"/>
    <protectedRange password="CC78" sqref="H11" name="Range1_3_2_1_1"/>
  </protectedRanges>
  <autoFilter ref="A9:AL13"/>
  <mergeCells count="22">
    <mergeCell ref="AF7:AG7"/>
    <mergeCell ref="V7:W7"/>
    <mergeCell ref="X7:Y7"/>
    <mergeCell ref="Z7:AA7"/>
    <mergeCell ref="AB7:AC7"/>
    <mergeCell ref="AD7:AE7"/>
    <mergeCell ref="A18:C20"/>
    <mergeCell ref="B7:B8"/>
    <mergeCell ref="A7:A8"/>
    <mergeCell ref="C7:C8"/>
    <mergeCell ref="AJ7:AJ8"/>
    <mergeCell ref="AI7:AI8"/>
    <mergeCell ref="D7:D8"/>
    <mergeCell ref="E7:F7"/>
    <mergeCell ref="G7:I7"/>
    <mergeCell ref="J7:K7"/>
    <mergeCell ref="L7:M7"/>
    <mergeCell ref="AH7:AH8"/>
    <mergeCell ref="N7:O7"/>
    <mergeCell ref="P7:Q7"/>
    <mergeCell ref="R7:S7"/>
    <mergeCell ref="T7:U7"/>
  </mergeCells>
  <phoneticPr fontId="47" type="noConversion"/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  <ignoredErrors>
    <ignoredError sqref="M20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A2" sqref="A2:A3"/>
      <selection pane="topRight" activeCell="A2" sqref="A2:A3"/>
      <selection pane="bottomLeft" activeCell="A2" sqref="A2:A3"/>
      <selection pane="bottomRight" activeCell="A9" sqref="A9:B12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03" customWidth="1"/>
    <col min="5" max="5" width="7.140625" style="2" customWidth="1"/>
    <col min="6" max="33" width="3.42578125" style="110" customWidth="1"/>
    <col min="34" max="36" width="3.42578125" style="111" customWidth="1"/>
    <col min="37" max="38" width="4.42578125" style="2" customWidth="1"/>
    <col min="39" max="39" width="5.5703125" style="8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6"/>
      <c r="B1" s="41"/>
      <c r="C1" s="41"/>
      <c r="D1" s="45"/>
      <c r="E1" s="41"/>
      <c r="F1" s="45"/>
      <c r="G1" s="45"/>
      <c r="H1" s="45"/>
      <c r="I1" s="45"/>
      <c r="J1" s="45"/>
      <c r="K1" s="106"/>
      <c r="L1" s="106"/>
      <c r="M1" s="106"/>
      <c r="N1" s="106"/>
      <c r="O1" s="106"/>
      <c r="P1" s="106"/>
      <c r="Q1" s="106"/>
      <c r="R1" s="106"/>
      <c r="S1" s="43" t="str">
        <f>CONCATENATE("BẢNG CHẤM CÔNG THÁNG ",TEXT($E$4,"mm")," NĂM ",TEXT($E$4,"yyyy"))</f>
        <v>BẢNG CHẤM CÔNG THÁNG 01 NĂM 2017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42"/>
      <c r="AL1" s="42"/>
      <c r="AM1" s="259" t="s">
        <v>79</v>
      </c>
      <c r="AN1" s="260"/>
      <c r="AO1" s="260"/>
      <c r="AP1" s="260"/>
      <c r="AQ1" s="260"/>
      <c r="AR1" s="260"/>
      <c r="AS1" s="261"/>
      <c r="AT1" s="44"/>
    </row>
    <row r="2" spans="1:91" ht="20.25">
      <c r="A2" s="126"/>
      <c r="B2" s="45"/>
      <c r="C2" s="45"/>
      <c r="D2" s="45"/>
      <c r="E2" s="45"/>
      <c r="F2" s="45"/>
      <c r="G2" s="45"/>
      <c r="H2" s="45"/>
      <c r="I2" s="45"/>
      <c r="J2" s="45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42"/>
      <c r="AL2" s="42"/>
      <c r="AM2" s="83"/>
      <c r="AN2" s="46"/>
      <c r="AO2" s="46"/>
      <c r="AP2" s="46"/>
      <c r="AQ2" s="46"/>
      <c r="AR2" s="46"/>
      <c r="AS2" s="82"/>
      <c r="AT2" s="82"/>
    </row>
    <row r="3" spans="1:91" ht="21" customHeight="1">
      <c r="A3" s="126"/>
      <c r="B3" s="47"/>
      <c r="C3" s="47"/>
      <c r="D3" s="48"/>
      <c r="E3" s="48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42"/>
      <c r="AL3" s="42"/>
      <c r="AM3" s="83"/>
      <c r="AN3" s="44"/>
      <c r="AO3" s="44"/>
      <c r="AP3" s="44"/>
      <c r="AQ3" s="44"/>
      <c r="AR3" s="44"/>
      <c r="AS3" s="49"/>
      <c r="AT3" s="49"/>
    </row>
    <row r="4" spans="1:91" ht="14.25" customHeight="1">
      <c r="A4" s="50"/>
      <c r="B4" s="50"/>
      <c r="C4" s="142"/>
      <c r="D4" s="141"/>
      <c r="E4" s="51">
        <v>42736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3"/>
      <c r="AI4" s="53"/>
      <c r="AJ4" s="53"/>
      <c r="AK4" s="50"/>
      <c r="AL4" s="50"/>
      <c r="AM4" s="84"/>
      <c r="AN4" s="50"/>
      <c r="AO4" s="50"/>
      <c r="AP4" s="50"/>
      <c r="AQ4" s="50"/>
      <c r="AR4" s="50"/>
      <c r="AS4" s="50"/>
      <c r="AT4" s="88"/>
    </row>
    <row r="5" spans="1:91" s="54" customFormat="1" ht="18.75" customHeight="1">
      <c r="A5" s="256" t="s">
        <v>26</v>
      </c>
      <c r="B5" s="256" t="s">
        <v>3</v>
      </c>
      <c r="C5" s="256" t="s">
        <v>1</v>
      </c>
      <c r="D5" s="258" t="s">
        <v>27</v>
      </c>
      <c r="E5" s="256" t="s">
        <v>28</v>
      </c>
      <c r="F5" s="105">
        <f>+E4</f>
        <v>42736</v>
      </c>
      <c r="G5" s="105">
        <f t="shared" ref="G5:AJ5" si="0">F5+1</f>
        <v>42737</v>
      </c>
      <c r="H5" s="105">
        <f t="shared" si="0"/>
        <v>42738</v>
      </c>
      <c r="I5" s="105">
        <f t="shared" si="0"/>
        <v>42739</v>
      </c>
      <c r="J5" s="105">
        <f t="shared" si="0"/>
        <v>42740</v>
      </c>
      <c r="K5" s="105">
        <f t="shared" si="0"/>
        <v>42741</v>
      </c>
      <c r="L5" s="105">
        <f t="shared" si="0"/>
        <v>42742</v>
      </c>
      <c r="M5" s="105">
        <f t="shared" si="0"/>
        <v>42743</v>
      </c>
      <c r="N5" s="105">
        <f t="shared" si="0"/>
        <v>42744</v>
      </c>
      <c r="O5" s="105">
        <f t="shared" si="0"/>
        <v>42745</v>
      </c>
      <c r="P5" s="105">
        <f t="shared" si="0"/>
        <v>42746</v>
      </c>
      <c r="Q5" s="105">
        <f t="shared" si="0"/>
        <v>42747</v>
      </c>
      <c r="R5" s="105">
        <f t="shared" si="0"/>
        <v>42748</v>
      </c>
      <c r="S5" s="105">
        <f t="shared" si="0"/>
        <v>42749</v>
      </c>
      <c r="T5" s="105">
        <f t="shared" si="0"/>
        <v>42750</v>
      </c>
      <c r="U5" s="105">
        <f t="shared" si="0"/>
        <v>42751</v>
      </c>
      <c r="V5" s="105">
        <f t="shared" si="0"/>
        <v>42752</v>
      </c>
      <c r="W5" s="105">
        <f t="shared" si="0"/>
        <v>42753</v>
      </c>
      <c r="X5" s="105">
        <f t="shared" si="0"/>
        <v>42754</v>
      </c>
      <c r="Y5" s="105">
        <f t="shared" si="0"/>
        <v>42755</v>
      </c>
      <c r="Z5" s="105">
        <f t="shared" si="0"/>
        <v>42756</v>
      </c>
      <c r="AA5" s="105">
        <f t="shared" si="0"/>
        <v>42757</v>
      </c>
      <c r="AB5" s="105">
        <f t="shared" si="0"/>
        <v>42758</v>
      </c>
      <c r="AC5" s="105">
        <f t="shared" si="0"/>
        <v>42759</v>
      </c>
      <c r="AD5" s="105">
        <f t="shared" si="0"/>
        <v>42760</v>
      </c>
      <c r="AE5" s="105">
        <f t="shared" si="0"/>
        <v>42761</v>
      </c>
      <c r="AF5" s="105">
        <f t="shared" si="0"/>
        <v>42762</v>
      </c>
      <c r="AG5" s="105">
        <f t="shared" si="0"/>
        <v>42763</v>
      </c>
      <c r="AH5" s="105">
        <f>AG5+1</f>
        <v>42764</v>
      </c>
      <c r="AI5" s="105">
        <f t="shared" si="0"/>
        <v>42765</v>
      </c>
      <c r="AJ5" s="105">
        <f t="shared" si="0"/>
        <v>42766</v>
      </c>
      <c r="AK5" s="262" t="s">
        <v>15</v>
      </c>
      <c r="AL5" s="263"/>
      <c r="AM5" s="264"/>
      <c r="AN5" s="265" t="s">
        <v>39</v>
      </c>
      <c r="AO5" s="265" t="s">
        <v>35</v>
      </c>
      <c r="AP5" s="265" t="s">
        <v>36</v>
      </c>
      <c r="AQ5" s="265" t="s">
        <v>37</v>
      </c>
      <c r="AR5" s="265" t="s">
        <v>38</v>
      </c>
      <c r="AS5" s="258" t="s">
        <v>0</v>
      </c>
      <c r="AT5" s="25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4" customFormat="1" ht="39.75" customHeight="1">
      <c r="A6" s="257"/>
      <c r="B6" s="257"/>
      <c r="C6" s="257"/>
      <c r="D6" s="257"/>
      <c r="E6" s="257"/>
      <c r="F6" s="160" t="str">
        <f>CHOOSE(WEEKDAY(F5),"C.Nhật","T.Hai","T.Ba","T.Tư","T.Năm","T.Sáu","T.Bảy")</f>
        <v>C.Nhật</v>
      </c>
      <c r="G6" s="160" t="str">
        <f t="shared" ref="G6:AJ6" si="1">CHOOSE(WEEKDAY(G5),"C.Nhật","T.Hai","T.Ba","T.Tư","T.Năm","T.Sáu","T.Bảy")</f>
        <v>T.Hai</v>
      </c>
      <c r="H6" s="160" t="str">
        <f t="shared" si="1"/>
        <v>T.Ba</v>
      </c>
      <c r="I6" s="160" t="str">
        <f t="shared" si="1"/>
        <v>T.Tư</v>
      </c>
      <c r="J6" s="160" t="str">
        <f t="shared" si="1"/>
        <v>T.Năm</v>
      </c>
      <c r="K6" s="160" t="str">
        <f t="shared" si="1"/>
        <v>T.Sáu</v>
      </c>
      <c r="L6" s="160" t="str">
        <f t="shared" si="1"/>
        <v>T.Bảy</v>
      </c>
      <c r="M6" s="160" t="str">
        <f t="shared" si="1"/>
        <v>C.Nhật</v>
      </c>
      <c r="N6" s="160" t="str">
        <f t="shared" si="1"/>
        <v>T.Hai</v>
      </c>
      <c r="O6" s="160" t="str">
        <f t="shared" si="1"/>
        <v>T.Ba</v>
      </c>
      <c r="P6" s="160" t="str">
        <f t="shared" si="1"/>
        <v>T.Tư</v>
      </c>
      <c r="Q6" s="160" t="str">
        <f t="shared" si="1"/>
        <v>T.Năm</v>
      </c>
      <c r="R6" s="160" t="str">
        <f t="shared" si="1"/>
        <v>T.Sáu</v>
      </c>
      <c r="S6" s="160" t="str">
        <f t="shared" si="1"/>
        <v>T.Bảy</v>
      </c>
      <c r="T6" s="160" t="str">
        <f t="shared" si="1"/>
        <v>C.Nhật</v>
      </c>
      <c r="U6" s="160" t="str">
        <f t="shared" si="1"/>
        <v>T.Hai</v>
      </c>
      <c r="V6" s="160" t="str">
        <f t="shared" si="1"/>
        <v>T.Ba</v>
      </c>
      <c r="W6" s="160" t="str">
        <f t="shared" si="1"/>
        <v>T.Tư</v>
      </c>
      <c r="X6" s="160" t="str">
        <f t="shared" si="1"/>
        <v>T.Năm</v>
      </c>
      <c r="Y6" s="160" t="str">
        <f t="shared" si="1"/>
        <v>T.Sáu</v>
      </c>
      <c r="Z6" s="160" t="str">
        <f t="shared" si="1"/>
        <v>T.Bảy</v>
      </c>
      <c r="AA6" s="160" t="str">
        <f t="shared" si="1"/>
        <v>C.Nhật</v>
      </c>
      <c r="AB6" s="160" t="str">
        <f t="shared" si="1"/>
        <v>T.Hai</v>
      </c>
      <c r="AC6" s="160" t="str">
        <f t="shared" si="1"/>
        <v>T.Ba</v>
      </c>
      <c r="AD6" s="160" t="str">
        <f t="shared" si="1"/>
        <v>T.Tư</v>
      </c>
      <c r="AE6" s="160" t="str">
        <f t="shared" si="1"/>
        <v>T.Năm</v>
      </c>
      <c r="AF6" s="160" t="str">
        <f t="shared" si="1"/>
        <v>T.Sáu</v>
      </c>
      <c r="AG6" s="160" t="str">
        <f t="shared" si="1"/>
        <v>T.Bảy</v>
      </c>
      <c r="AH6" s="160" t="str">
        <f t="shared" si="1"/>
        <v>C.Nhật</v>
      </c>
      <c r="AI6" s="160" t="str">
        <f t="shared" si="1"/>
        <v>T.Hai</v>
      </c>
      <c r="AJ6" s="160" t="str">
        <f t="shared" si="1"/>
        <v>T.Ba</v>
      </c>
      <c r="AK6" s="161" t="s">
        <v>16</v>
      </c>
      <c r="AL6" s="161" t="s">
        <v>29</v>
      </c>
      <c r="AM6" s="162" t="s">
        <v>17</v>
      </c>
      <c r="AN6" s="266"/>
      <c r="AO6" s="266"/>
      <c r="AP6" s="266"/>
      <c r="AQ6" s="266"/>
      <c r="AR6" s="266"/>
      <c r="AS6" s="257"/>
      <c r="AT6" s="25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4" customFormat="1" ht="12.75" customHeight="1">
      <c r="A7" s="163">
        <v>1</v>
      </c>
      <c r="B7" s="163">
        <v>1</v>
      </c>
      <c r="C7" s="163">
        <v>2</v>
      </c>
      <c r="D7" s="163">
        <v>3</v>
      </c>
      <c r="E7" s="163">
        <v>4</v>
      </c>
      <c r="F7" s="163">
        <v>5</v>
      </c>
      <c r="G7" s="163">
        <v>6</v>
      </c>
      <c r="H7" s="163">
        <v>7</v>
      </c>
      <c r="I7" s="163">
        <v>8</v>
      </c>
      <c r="J7" s="163">
        <v>9</v>
      </c>
      <c r="K7" s="163">
        <v>10</v>
      </c>
      <c r="L7" s="163">
        <v>11</v>
      </c>
      <c r="M7" s="163">
        <v>12</v>
      </c>
      <c r="N7" s="163">
        <v>13</v>
      </c>
      <c r="O7" s="163">
        <v>14</v>
      </c>
      <c r="P7" s="163">
        <v>15</v>
      </c>
      <c r="Q7" s="163">
        <v>16</v>
      </c>
      <c r="R7" s="163">
        <v>17</v>
      </c>
      <c r="S7" s="163">
        <v>18</v>
      </c>
      <c r="T7" s="163">
        <v>19</v>
      </c>
      <c r="U7" s="163">
        <v>20</v>
      </c>
      <c r="V7" s="163">
        <v>21</v>
      </c>
      <c r="W7" s="163">
        <v>22</v>
      </c>
      <c r="X7" s="163">
        <v>23</v>
      </c>
      <c r="Y7" s="163">
        <v>24</v>
      </c>
      <c r="Z7" s="163">
        <v>25</v>
      </c>
      <c r="AA7" s="163">
        <v>26</v>
      </c>
      <c r="AB7" s="163">
        <v>27</v>
      </c>
      <c r="AC7" s="163">
        <v>28</v>
      </c>
      <c r="AD7" s="163">
        <v>29</v>
      </c>
      <c r="AE7" s="163">
        <v>30</v>
      </c>
      <c r="AF7" s="163">
        <v>31</v>
      </c>
      <c r="AG7" s="163">
        <v>32</v>
      </c>
      <c r="AH7" s="163">
        <v>33</v>
      </c>
      <c r="AI7" s="163">
        <v>34</v>
      </c>
      <c r="AJ7" s="163">
        <v>35</v>
      </c>
      <c r="AK7" s="163">
        <v>36</v>
      </c>
      <c r="AL7" s="163">
        <v>37</v>
      </c>
      <c r="AM7" s="163">
        <v>38</v>
      </c>
      <c r="AN7" s="163">
        <v>39</v>
      </c>
      <c r="AO7" s="163">
        <v>40</v>
      </c>
      <c r="AP7" s="163">
        <v>41</v>
      </c>
      <c r="AQ7" s="163">
        <v>42</v>
      </c>
      <c r="AR7" s="163">
        <v>43</v>
      </c>
      <c r="AS7" s="163">
        <v>44</v>
      </c>
      <c r="AT7" s="205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6" customFormat="1" ht="21" customHeight="1">
      <c r="A8" s="164" t="s">
        <v>68</v>
      </c>
      <c r="B8" s="167" t="s">
        <v>78</v>
      </c>
      <c r="C8" s="168"/>
      <c r="D8" s="168"/>
      <c r="E8" s="168"/>
      <c r="F8" s="168"/>
      <c r="G8" s="168"/>
      <c r="H8" s="168"/>
      <c r="I8" s="168"/>
      <c r="J8" s="168"/>
      <c r="K8" s="168"/>
      <c r="L8" s="168"/>
      <c r="M8" s="168"/>
      <c r="N8" s="168"/>
      <c r="O8" s="168"/>
      <c r="P8" s="168"/>
      <c r="Q8" s="168"/>
      <c r="R8" s="168"/>
      <c r="S8" s="168"/>
      <c r="T8" s="168"/>
      <c r="U8" s="168"/>
      <c r="V8" s="168"/>
      <c r="W8" s="168"/>
      <c r="X8" s="168"/>
      <c r="Y8" s="168"/>
      <c r="Z8" s="168"/>
      <c r="AA8" s="168"/>
      <c r="AB8" s="168"/>
      <c r="AC8" s="168"/>
      <c r="AD8" s="168"/>
      <c r="AE8" s="168"/>
      <c r="AF8" s="168"/>
      <c r="AG8" s="168"/>
      <c r="AH8" s="168"/>
      <c r="AI8" s="168"/>
      <c r="AJ8" s="168"/>
      <c r="AK8" s="168"/>
      <c r="AL8" s="168"/>
      <c r="AM8" s="168"/>
      <c r="AN8" s="168"/>
      <c r="AO8" s="168"/>
      <c r="AP8" s="168"/>
      <c r="AQ8" s="168"/>
      <c r="AR8" s="168"/>
      <c r="AS8" s="169"/>
      <c r="AT8" s="165"/>
    </row>
    <row r="9" spans="1:91" s="54" customFormat="1" ht="17.25" customHeight="1">
      <c r="A9" s="249">
        <v>1</v>
      </c>
      <c r="B9" s="249" t="s">
        <v>74</v>
      </c>
      <c r="C9" s="251" t="str">
        <f>VLOOKUP(B9,DS,2,0)</f>
        <v>Nguyễn Thị Kim Quyên</v>
      </c>
      <c r="D9" s="253" t="str">
        <f>VLOOKUP(B9,DS,3,0)</f>
        <v>Văn Phòng</v>
      </c>
      <c r="E9" s="55" t="s">
        <v>30</v>
      </c>
      <c r="F9" s="130"/>
      <c r="G9" s="130"/>
      <c r="H9" s="130">
        <v>8</v>
      </c>
      <c r="I9" s="130">
        <v>8</v>
      </c>
      <c r="J9" s="130">
        <v>8</v>
      </c>
      <c r="K9" s="130">
        <v>8</v>
      </c>
      <c r="L9" s="130">
        <v>8</v>
      </c>
      <c r="M9" s="130"/>
      <c r="N9" s="130">
        <v>8</v>
      </c>
      <c r="O9" s="130">
        <v>8</v>
      </c>
      <c r="P9" s="130">
        <v>8</v>
      </c>
      <c r="Q9" s="130">
        <v>8</v>
      </c>
      <c r="R9" s="130">
        <v>8</v>
      </c>
      <c r="S9" s="130">
        <v>8</v>
      </c>
      <c r="T9" s="130"/>
      <c r="U9" s="130">
        <v>8</v>
      </c>
      <c r="V9" s="130">
        <v>8</v>
      </c>
      <c r="W9" s="130">
        <v>8</v>
      </c>
      <c r="X9" s="130">
        <v>8</v>
      </c>
      <c r="Y9" s="130">
        <v>8</v>
      </c>
      <c r="Z9" s="130">
        <v>8</v>
      </c>
      <c r="AA9" s="130"/>
      <c r="AB9" s="130">
        <v>8</v>
      </c>
      <c r="AC9" s="130">
        <v>8</v>
      </c>
      <c r="AD9" s="130">
        <v>8</v>
      </c>
      <c r="AE9" s="130">
        <v>8</v>
      </c>
      <c r="AF9" s="130">
        <v>8</v>
      </c>
      <c r="AG9" s="130">
        <v>8</v>
      </c>
      <c r="AH9" s="130"/>
      <c r="AI9" s="130">
        <v>8</v>
      </c>
      <c r="AJ9" s="130">
        <v>8</v>
      </c>
      <c r="AK9" s="245">
        <f t="shared" ref="AK9" si="2">((SUM(F9:AJ9))/8)-(SUMIF($F$6:$AJ$6,"C.Nhật",F9:AJ9)/8)</f>
        <v>25</v>
      </c>
      <c r="AL9" s="245">
        <f t="shared" ref="AL9" si="3">SUM(F10:AJ10)/8*1.5</f>
        <v>0</v>
      </c>
      <c r="AM9" s="247">
        <f t="shared" ref="AM9:AM11" si="4">SUMIF($F$6:$AJ$6,"C.Nhật",$F9:$AJ10)/8*2</f>
        <v>0</v>
      </c>
      <c r="AN9" s="241">
        <f t="shared" ref="AN9" si="5">SUM(AK9:AM10)</f>
        <v>25</v>
      </c>
      <c r="AO9" s="243">
        <v>0</v>
      </c>
      <c r="AP9" s="241"/>
      <c r="AQ9" s="241"/>
      <c r="AR9" s="241"/>
      <c r="AS9" s="239"/>
      <c r="AT9" s="205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4" customFormat="1" ht="18" customHeight="1">
      <c r="A10" s="250"/>
      <c r="B10" s="250"/>
      <c r="C10" s="252"/>
      <c r="D10" s="254"/>
      <c r="E10" s="56" t="s">
        <v>29</v>
      </c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131"/>
      <c r="AK10" s="246"/>
      <c r="AL10" s="246"/>
      <c r="AM10" s="248"/>
      <c r="AN10" s="242"/>
      <c r="AO10" s="244"/>
      <c r="AP10" s="242"/>
      <c r="AQ10" s="242"/>
      <c r="AR10" s="242"/>
      <c r="AS10" s="240"/>
      <c r="AT10" s="205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4" customFormat="1" ht="17.25" customHeight="1">
      <c r="A11" s="249">
        <v>2</v>
      </c>
      <c r="B11" s="249" t="s">
        <v>114</v>
      </c>
      <c r="C11" s="251" t="str">
        <f>VLOOKUP(B11,DS,2,0)</f>
        <v>Đinh Hoàng Lợi</v>
      </c>
      <c r="D11" s="253" t="str">
        <f>VLOOKUP(B11,DS,3,0)</f>
        <v>Tài xế</v>
      </c>
      <c r="E11" s="55" t="s">
        <v>30</v>
      </c>
      <c r="F11" s="130"/>
      <c r="G11" s="130"/>
      <c r="H11" s="130">
        <v>8</v>
      </c>
      <c r="I11" s="130">
        <v>8</v>
      </c>
      <c r="J11" s="130">
        <v>8</v>
      </c>
      <c r="K11" s="130">
        <v>8</v>
      </c>
      <c r="L11" s="130">
        <v>8</v>
      </c>
      <c r="M11" s="130"/>
      <c r="N11" s="130">
        <v>8</v>
      </c>
      <c r="O11" s="130">
        <v>8</v>
      </c>
      <c r="P11" s="130">
        <v>8</v>
      </c>
      <c r="Q11" s="130">
        <v>8</v>
      </c>
      <c r="R11" s="130">
        <v>8</v>
      </c>
      <c r="S11" s="130">
        <v>8</v>
      </c>
      <c r="T11" s="130"/>
      <c r="U11" s="130">
        <v>8</v>
      </c>
      <c r="V11" s="130">
        <v>8</v>
      </c>
      <c r="W11" s="130">
        <v>8</v>
      </c>
      <c r="X11" s="130">
        <v>8</v>
      </c>
      <c r="Y11" s="130">
        <v>8</v>
      </c>
      <c r="Z11" s="130">
        <v>8</v>
      </c>
      <c r="AA11" s="130"/>
      <c r="AB11" s="130">
        <v>8</v>
      </c>
      <c r="AC11" s="130">
        <v>8</v>
      </c>
      <c r="AD11" s="130">
        <v>8</v>
      </c>
      <c r="AE11" s="130">
        <v>8</v>
      </c>
      <c r="AF11" s="130">
        <v>8</v>
      </c>
      <c r="AG11" s="130">
        <v>8</v>
      </c>
      <c r="AH11" s="130"/>
      <c r="AI11" s="130">
        <v>8</v>
      </c>
      <c r="AJ11" s="130">
        <v>8</v>
      </c>
      <c r="AK11" s="245">
        <f t="shared" ref="AK11" si="6">((SUM(F11:AJ11))/8)-(SUMIF($F$6:$AJ$6,"C.Nhật",F11:AJ11)/8)</f>
        <v>25</v>
      </c>
      <c r="AL11" s="245">
        <f t="shared" ref="AL11" si="7">SUM(F12:AJ12)/8*1.5</f>
        <v>0</v>
      </c>
      <c r="AM11" s="247">
        <f t="shared" si="4"/>
        <v>0</v>
      </c>
      <c r="AN11" s="241">
        <f t="shared" ref="AN11" si="8">SUM(AK11:AM12)</f>
        <v>25</v>
      </c>
      <c r="AO11" s="243">
        <v>0</v>
      </c>
      <c r="AP11" s="241"/>
      <c r="AQ11" s="241"/>
      <c r="AR11" s="241"/>
      <c r="AS11" s="239"/>
      <c r="AT11" s="224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4" customFormat="1" ht="18" customHeight="1">
      <c r="A12" s="250"/>
      <c r="B12" s="250"/>
      <c r="C12" s="252"/>
      <c r="D12" s="254"/>
      <c r="E12" s="56" t="s">
        <v>29</v>
      </c>
      <c r="F12" s="131"/>
      <c r="G12" s="131"/>
      <c r="H12" s="131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1"/>
      <c r="Y12" s="131"/>
      <c r="Z12" s="131"/>
      <c r="AA12" s="131"/>
      <c r="AB12" s="131"/>
      <c r="AC12" s="131"/>
      <c r="AD12" s="131"/>
      <c r="AE12" s="131"/>
      <c r="AF12" s="131"/>
      <c r="AG12" s="131"/>
      <c r="AH12" s="131"/>
      <c r="AI12" s="131"/>
      <c r="AJ12" s="131"/>
      <c r="AK12" s="246"/>
      <c r="AL12" s="246"/>
      <c r="AM12" s="248"/>
      <c r="AN12" s="242"/>
      <c r="AO12" s="244"/>
      <c r="AP12" s="242"/>
      <c r="AQ12" s="242"/>
      <c r="AR12" s="242"/>
      <c r="AS12" s="240"/>
      <c r="AT12" s="224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66" customFormat="1" ht="21" customHeight="1">
      <c r="A13" s="164" t="s">
        <v>69</v>
      </c>
      <c r="B13" s="167" t="s">
        <v>73</v>
      </c>
      <c r="C13" s="168"/>
      <c r="D13" s="168"/>
      <c r="E13" s="168"/>
      <c r="F13" s="168"/>
      <c r="G13" s="168"/>
      <c r="H13" s="168"/>
      <c r="I13" s="168"/>
      <c r="J13" s="168"/>
      <c r="K13" s="168"/>
      <c r="L13" s="168"/>
      <c r="M13" s="168"/>
      <c r="N13" s="168"/>
      <c r="O13" s="168"/>
      <c r="P13" s="168"/>
      <c r="Q13" s="168"/>
      <c r="R13" s="168"/>
      <c r="S13" s="168"/>
      <c r="T13" s="168"/>
      <c r="U13" s="168"/>
      <c r="V13" s="168"/>
      <c r="W13" s="168"/>
      <c r="X13" s="168"/>
      <c r="Y13" s="168"/>
      <c r="Z13" s="168"/>
      <c r="AA13" s="168"/>
      <c r="AB13" s="168"/>
      <c r="AC13" s="168"/>
      <c r="AD13" s="168"/>
      <c r="AE13" s="168"/>
      <c r="AF13" s="168"/>
      <c r="AG13" s="168"/>
      <c r="AH13" s="168"/>
      <c r="AI13" s="168"/>
      <c r="AJ13" s="168"/>
      <c r="AK13" s="168"/>
      <c r="AL13" s="168"/>
      <c r="AM13" s="168"/>
      <c r="AN13" s="168"/>
      <c r="AO13" s="168"/>
      <c r="AP13" s="168"/>
      <c r="AQ13" s="168"/>
      <c r="AR13" s="168"/>
      <c r="AS13" s="169"/>
      <c r="AT13" s="165"/>
    </row>
    <row r="14" spans="1:91" s="54" customFormat="1" ht="18" customHeight="1">
      <c r="A14" s="249">
        <v>1</v>
      </c>
      <c r="B14" s="249" t="s">
        <v>75</v>
      </c>
      <c r="C14" s="251" t="str">
        <f>VLOOKUP(B14,DS,2,0)</f>
        <v>Lê Văn Hữu</v>
      </c>
      <c r="D14" s="253" t="str">
        <f>VLOOKUP(B14,DS,3,0)</f>
        <v>Công Đoạn 1</v>
      </c>
      <c r="E14" s="55" t="s">
        <v>30</v>
      </c>
      <c r="F14" s="130"/>
      <c r="G14" s="130"/>
      <c r="H14" s="130">
        <v>8</v>
      </c>
      <c r="I14" s="130">
        <v>8</v>
      </c>
      <c r="J14" s="130">
        <v>8</v>
      </c>
      <c r="K14" s="130">
        <v>8</v>
      </c>
      <c r="L14" s="130">
        <v>8</v>
      </c>
      <c r="M14" s="130"/>
      <c r="N14" s="130">
        <v>8</v>
      </c>
      <c r="O14" s="130">
        <v>8</v>
      </c>
      <c r="P14" s="130">
        <v>8</v>
      </c>
      <c r="Q14" s="130">
        <v>8</v>
      </c>
      <c r="R14" s="130">
        <v>8</v>
      </c>
      <c r="S14" s="130">
        <v>8</v>
      </c>
      <c r="T14" s="130"/>
      <c r="U14" s="130">
        <v>8</v>
      </c>
      <c r="V14" s="130">
        <v>8</v>
      </c>
      <c r="W14" s="130">
        <v>8</v>
      </c>
      <c r="X14" s="130">
        <v>8</v>
      </c>
      <c r="Y14" s="130">
        <v>8</v>
      </c>
      <c r="Z14" s="130">
        <v>8</v>
      </c>
      <c r="AA14" s="130"/>
      <c r="AB14" s="130">
        <v>8</v>
      </c>
      <c r="AC14" s="130">
        <v>8</v>
      </c>
      <c r="AD14" s="130">
        <v>8</v>
      </c>
      <c r="AE14" s="130">
        <v>8</v>
      </c>
      <c r="AF14" s="130">
        <v>8</v>
      </c>
      <c r="AG14" s="130">
        <v>8</v>
      </c>
      <c r="AH14" s="130"/>
      <c r="AI14" s="130">
        <v>8</v>
      </c>
      <c r="AJ14" s="130">
        <v>8</v>
      </c>
      <c r="AK14" s="245">
        <f t="shared" ref="AK14" si="9">((SUM(F14:AJ14))/8)-(SUMIF($F$6:$AJ$6,"C.Nhật",F14:AJ14)/8)</f>
        <v>25</v>
      </c>
      <c r="AL14" s="245">
        <f t="shared" ref="AL14" si="10">SUM(F15:AJ15)/8*1.5</f>
        <v>0</v>
      </c>
      <c r="AM14" s="247">
        <f>SUMIF($F$6:$AJ$6,"C.Nhật",$F14:$AJ15)/8*2</f>
        <v>0</v>
      </c>
      <c r="AN14" s="241">
        <f>SUM(AK14:AM15)</f>
        <v>25</v>
      </c>
      <c r="AO14" s="243">
        <v>0</v>
      </c>
      <c r="AP14" s="241"/>
      <c r="AQ14" s="241"/>
      <c r="AR14" s="241"/>
      <c r="AS14" s="239"/>
      <c r="AT14" s="205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4" customFormat="1" ht="18" customHeight="1">
      <c r="A15" s="250"/>
      <c r="B15" s="250"/>
      <c r="C15" s="252"/>
      <c r="D15" s="254"/>
      <c r="E15" s="56" t="s">
        <v>29</v>
      </c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31"/>
      <c r="AK15" s="246"/>
      <c r="AL15" s="246"/>
      <c r="AM15" s="248"/>
      <c r="AN15" s="242"/>
      <c r="AO15" s="244"/>
      <c r="AP15" s="242"/>
      <c r="AQ15" s="242"/>
      <c r="AR15" s="242"/>
      <c r="AS15" s="240"/>
      <c r="AT15" s="205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4" customFormat="1" ht="18" customHeight="1">
      <c r="A16" s="249">
        <v>2</v>
      </c>
      <c r="B16" s="249" t="s">
        <v>76</v>
      </c>
      <c r="C16" s="251" t="str">
        <f>VLOOKUP(B16,DS,2,0)</f>
        <v>Lý Thanh Hải</v>
      </c>
      <c r="D16" s="253" t="str">
        <f>VLOOKUP(B16,DS,3,0)</f>
        <v>Công Đoạn 1</v>
      </c>
      <c r="E16" s="55" t="s">
        <v>30</v>
      </c>
      <c r="F16" s="130"/>
      <c r="G16" s="130"/>
      <c r="H16" s="130">
        <v>8</v>
      </c>
      <c r="I16" s="130">
        <v>8</v>
      </c>
      <c r="J16" s="130">
        <v>8</v>
      </c>
      <c r="K16" s="130">
        <v>8</v>
      </c>
      <c r="L16" s="130">
        <v>8</v>
      </c>
      <c r="M16" s="130"/>
      <c r="N16" s="130">
        <v>8</v>
      </c>
      <c r="O16" s="130">
        <v>8</v>
      </c>
      <c r="P16" s="130">
        <v>8</v>
      </c>
      <c r="Q16" s="130">
        <v>8</v>
      </c>
      <c r="R16" s="130">
        <v>8</v>
      </c>
      <c r="S16" s="130">
        <v>8</v>
      </c>
      <c r="T16" s="130"/>
      <c r="U16" s="130">
        <v>8</v>
      </c>
      <c r="V16" s="130">
        <v>8</v>
      </c>
      <c r="W16" s="130">
        <v>8</v>
      </c>
      <c r="X16" s="130">
        <v>8</v>
      </c>
      <c r="Y16" s="130">
        <v>8</v>
      </c>
      <c r="Z16" s="130">
        <v>8</v>
      </c>
      <c r="AA16" s="130"/>
      <c r="AB16" s="130">
        <v>8</v>
      </c>
      <c r="AC16" s="130">
        <v>8</v>
      </c>
      <c r="AD16" s="130">
        <v>8</v>
      </c>
      <c r="AE16" s="130">
        <v>8</v>
      </c>
      <c r="AF16" s="130">
        <v>8</v>
      </c>
      <c r="AG16" s="130">
        <v>8</v>
      </c>
      <c r="AH16" s="130"/>
      <c r="AI16" s="130">
        <v>8</v>
      </c>
      <c r="AJ16" s="130">
        <v>8</v>
      </c>
      <c r="AK16" s="245">
        <f t="shared" ref="AK16" si="11">((SUM(F16:AJ16))/8)-(SUMIF($F$6:$AJ$6,"C.Nhật",F16:AJ16)/8)</f>
        <v>25</v>
      </c>
      <c r="AL16" s="245">
        <f t="shared" ref="AL16" si="12">SUM(F17:AJ17)/8*1.5</f>
        <v>0</v>
      </c>
      <c r="AM16" s="247">
        <f>SUMIF($F$6:$AJ$6,"C.Nhật",$F16:$AJ17)/8*2</f>
        <v>0</v>
      </c>
      <c r="AN16" s="241">
        <f t="shared" ref="AN16" si="13">SUM(AK16:AM17)</f>
        <v>25</v>
      </c>
      <c r="AO16" s="243">
        <v>0</v>
      </c>
      <c r="AP16" s="241"/>
      <c r="AQ16" s="241"/>
      <c r="AR16" s="241"/>
      <c r="AS16" s="239"/>
      <c r="AT16" s="21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54" customFormat="1" ht="18" customHeight="1">
      <c r="A17" s="250"/>
      <c r="B17" s="250"/>
      <c r="C17" s="252"/>
      <c r="D17" s="254"/>
      <c r="E17" s="56" t="s">
        <v>29</v>
      </c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31"/>
      <c r="AK17" s="246"/>
      <c r="AL17" s="246"/>
      <c r="AM17" s="248"/>
      <c r="AN17" s="242"/>
      <c r="AO17" s="244"/>
      <c r="AP17" s="242"/>
      <c r="AQ17" s="242"/>
      <c r="AR17" s="242"/>
      <c r="AS17" s="240"/>
      <c r="AT17" s="21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54" customFormat="1" ht="18" customHeight="1">
      <c r="A18" s="249">
        <v>3</v>
      </c>
      <c r="B18" s="249" t="s">
        <v>77</v>
      </c>
      <c r="C18" s="251" t="str">
        <f>VLOOKUP(B18,DS,2,0)</f>
        <v>Cao Minh Chí</v>
      </c>
      <c r="D18" s="253" t="str">
        <f>VLOOKUP(B18,DS,3,0)</f>
        <v>Công Đoạn 2</v>
      </c>
      <c r="E18" s="55" t="s">
        <v>30</v>
      </c>
      <c r="F18" s="130"/>
      <c r="G18" s="130"/>
      <c r="H18" s="130">
        <v>8</v>
      </c>
      <c r="I18" s="130">
        <v>8</v>
      </c>
      <c r="J18" s="130">
        <v>8</v>
      </c>
      <c r="K18" s="130">
        <v>8</v>
      </c>
      <c r="L18" s="130">
        <v>8</v>
      </c>
      <c r="M18" s="130"/>
      <c r="N18" s="130">
        <v>8</v>
      </c>
      <c r="O18" s="130">
        <v>8</v>
      </c>
      <c r="P18" s="130">
        <v>8</v>
      </c>
      <c r="Q18" s="130">
        <v>8</v>
      </c>
      <c r="R18" s="130">
        <v>8</v>
      </c>
      <c r="S18" s="130">
        <v>8</v>
      </c>
      <c r="T18" s="130"/>
      <c r="U18" s="130">
        <v>8</v>
      </c>
      <c r="V18" s="130">
        <v>8</v>
      </c>
      <c r="W18" s="130">
        <v>8</v>
      </c>
      <c r="X18" s="130">
        <v>8</v>
      </c>
      <c r="Y18" s="130">
        <v>8</v>
      </c>
      <c r="Z18" s="130">
        <v>8</v>
      </c>
      <c r="AA18" s="130"/>
      <c r="AB18" s="130">
        <v>8</v>
      </c>
      <c r="AC18" s="130">
        <v>8</v>
      </c>
      <c r="AD18" s="130">
        <v>8</v>
      </c>
      <c r="AE18" s="130">
        <v>8</v>
      </c>
      <c r="AF18" s="130">
        <v>8</v>
      </c>
      <c r="AG18" s="130">
        <v>8</v>
      </c>
      <c r="AH18" s="130"/>
      <c r="AI18" s="130">
        <v>8</v>
      </c>
      <c r="AJ18" s="130">
        <v>8</v>
      </c>
      <c r="AK18" s="245">
        <f t="shared" ref="AK18" si="14">((SUM(F18:AJ18))/8)-(SUMIF($F$6:$AJ$6,"C.Nhật",F18:AJ18)/8)</f>
        <v>25</v>
      </c>
      <c r="AL18" s="245">
        <f t="shared" ref="AL18" si="15">SUM(F19:AJ19)/8*1.5</f>
        <v>0</v>
      </c>
      <c r="AM18" s="247">
        <f>SUMIF($F$6:$AJ$6,"C.Nhật",$F18:$AJ19)/8*2</f>
        <v>0</v>
      </c>
      <c r="AN18" s="241">
        <f t="shared" ref="AN18" si="16">SUM(AK18:AM19)</f>
        <v>25</v>
      </c>
      <c r="AO18" s="243">
        <v>0</v>
      </c>
      <c r="AP18" s="241"/>
      <c r="AQ18" s="241"/>
      <c r="AR18" s="241"/>
      <c r="AS18" s="239"/>
      <c r="AT18" s="21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54" customFormat="1" ht="18" customHeight="1">
      <c r="A19" s="250"/>
      <c r="B19" s="250"/>
      <c r="C19" s="252"/>
      <c r="D19" s="254"/>
      <c r="E19" s="56" t="s">
        <v>29</v>
      </c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131"/>
      <c r="W19" s="131"/>
      <c r="X19" s="131"/>
      <c r="Y19" s="131"/>
      <c r="Z19" s="131"/>
      <c r="AA19" s="131"/>
      <c r="AB19" s="131"/>
      <c r="AC19" s="131"/>
      <c r="AD19" s="131"/>
      <c r="AE19" s="131"/>
      <c r="AF19" s="131"/>
      <c r="AG19" s="131"/>
      <c r="AH19" s="131"/>
      <c r="AI19" s="131"/>
      <c r="AJ19" s="131"/>
      <c r="AK19" s="246"/>
      <c r="AL19" s="246"/>
      <c r="AM19" s="248"/>
      <c r="AN19" s="242"/>
      <c r="AO19" s="244"/>
      <c r="AP19" s="242"/>
      <c r="AQ19" s="242"/>
      <c r="AR19" s="242"/>
      <c r="AS19" s="240"/>
      <c r="AT19" s="21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57" customFormat="1" ht="12.75">
      <c r="A20" s="14"/>
      <c r="B20" s="58"/>
      <c r="C20" s="4"/>
      <c r="D20" s="100"/>
      <c r="E20" s="4"/>
      <c r="F20" s="62"/>
      <c r="G20" s="62"/>
      <c r="H20" s="59"/>
      <c r="I20" s="59"/>
      <c r="J20" s="107"/>
      <c r="K20" s="62"/>
      <c r="L20" s="59"/>
      <c r="M20" s="62"/>
      <c r="N20" s="62"/>
      <c r="O20" s="62"/>
      <c r="P20" s="62"/>
      <c r="Q20" s="59"/>
      <c r="R20" s="62"/>
      <c r="S20" s="62"/>
      <c r="T20" s="107"/>
      <c r="U20" s="62"/>
      <c r="V20" s="62"/>
      <c r="W20" s="62"/>
      <c r="X20" s="58"/>
      <c r="Y20" s="62"/>
      <c r="Z20" s="62"/>
      <c r="AA20" s="62"/>
      <c r="AB20" s="62"/>
      <c r="AC20" s="62"/>
      <c r="AD20" s="59"/>
      <c r="AE20" s="62"/>
      <c r="AF20" s="62"/>
      <c r="AG20" s="62"/>
      <c r="AH20" s="62"/>
      <c r="AI20" s="62"/>
      <c r="AJ20" s="62"/>
      <c r="AK20" s="4"/>
      <c r="AL20" s="4"/>
      <c r="AM20" s="85"/>
      <c r="AN20" s="61"/>
      <c r="AO20" s="61"/>
      <c r="AP20" s="61"/>
      <c r="AQ20" s="61"/>
      <c r="AR20" s="61"/>
      <c r="AS20" s="4"/>
      <c r="AT20" s="91"/>
    </row>
    <row r="21" spans="1:91" s="57" customFormat="1" ht="12.75">
      <c r="A21" s="14"/>
      <c r="B21" s="58"/>
      <c r="C21" s="14" t="s">
        <v>14</v>
      </c>
      <c r="D21" s="100"/>
      <c r="E21" s="4"/>
      <c r="F21" s="62"/>
      <c r="G21" s="62"/>
      <c r="H21" s="59"/>
      <c r="I21" s="59"/>
      <c r="J21" s="107"/>
      <c r="K21" s="62"/>
      <c r="L21" s="59"/>
      <c r="M21" s="62"/>
      <c r="N21" s="62"/>
      <c r="O21" s="62"/>
      <c r="P21" s="62"/>
      <c r="Q21" s="59"/>
      <c r="R21" s="62"/>
      <c r="S21" s="62"/>
      <c r="T21" s="107"/>
      <c r="U21" s="62"/>
      <c r="V21" s="62"/>
      <c r="W21" s="62"/>
      <c r="X21" s="58"/>
      <c r="Y21" s="62"/>
      <c r="Z21" s="62"/>
      <c r="AA21" s="62"/>
      <c r="AB21" s="62"/>
      <c r="AC21" s="62"/>
      <c r="AD21" s="59"/>
      <c r="AE21" s="62"/>
      <c r="AF21" s="62"/>
      <c r="AG21" s="62"/>
      <c r="AH21" s="62"/>
      <c r="AI21" s="62"/>
      <c r="AJ21" s="62"/>
      <c r="AK21" s="4"/>
      <c r="AL21" s="4"/>
      <c r="AM21" s="85"/>
      <c r="AN21" s="61"/>
      <c r="AO21" s="61"/>
      <c r="AP21" s="61"/>
      <c r="AQ21" s="61"/>
      <c r="AR21" s="61"/>
      <c r="AS21" s="4"/>
      <c r="AT21" s="91"/>
    </row>
    <row r="22" spans="1:91" s="57" customFormat="1" ht="12.75">
      <c r="A22" s="12"/>
      <c r="B22" s="12"/>
      <c r="C22" s="4"/>
      <c r="D22" s="100"/>
      <c r="E22" s="4"/>
      <c r="F22" s="62"/>
      <c r="G22" s="62"/>
      <c r="H22" s="108"/>
      <c r="I22" s="108"/>
      <c r="J22" s="108"/>
      <c r="K22" s="62"/>
      <c r="L22" s="108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108"/>
      <c r="AE22" s="62"/>
      <c r="AF22" s="62"/>
      <c r="AG22" s="62"/>
      <c r="AH22" s="62"/>
      <c r="AI22" s="62"/>
      <c r="AJ22" s="62"/>
      <c r="AK22" s="4"/>
      <c r="AL22" s="4"/>
      <c r="AM22" s="85"/>
      <c r="AN22" s="63"/>
      <c r="AO22" s="63"/>
      <c r="AP22" s="63"/>
      <c r="AQ22" s="63"/>
      <c r="AR22" s="63"/>
      <c r="AS22" s="4"/>
      <c r="AT22" s="91"/>
    </row>
    <row r="23" spans="1:91" s="60" customFormat="1" ht="15" customHeight="1">
      <c r="A23" s="12"/>
      <c r="B23" s="12"/>
      <c r="C23" s="4"/>
      <c r="D23" s="100"/>
      <c r="E23" s="4"/>
      <c r="F23" s="62"/>
      <c r="G23" s="62"/>
      <c r="H23" s="108"/>
      <c r="I23" s="108"/>
      <c r="J23" s="108"/>
      <c r="K23" s="62"/>
      <c r="L23" s="108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108"/>
      <c r="AE23" s="62"/>
      <c r="AF23" s="62"/>
      <c r="AG23" s="62"/>
      <c r="AH23" s="62"/>
      <c r="AI23" s="62"/>
      <c r="AJ23" s="62"/>
      <c r="AK23" s="4"/>
      <c r="AL23" s="4"/>
      <c r="AM23" s="85"/>
      <c r="AN23" s="63"/>
      <c r="AO23" s="63"/>
      <c r="AP23" s="63"/>
      <c r="AQ23" s="63"/>
      <c r="AR23" s="63"/>
      <c r="AS23" s="4"/>
      <c r="AT23" s="4"/>
    </row>
    <row r="24" spans="1:91" s="60" customFormat="1" ht="11.25">
      <c r="A24" s="12"/>
      <c r="B24" s="12"/>
      <c r="C24" s="4"/>
      <c r="D24" s="100"/>
      <c r="E24" s="4"/>
      <c r="F24" s="62"/>
      <c r="G24" s="62"/>
      <c r="H24" s="108"/>
      <c r="I24" s="108"/>
      <c r="J24" s="108"/>
      <c r="K24" s="62"/>
      <c r="L24" s="108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108"/>
      <c r="AE24" s="62"/>
      <c r="AF24" s="62"/>
      <c r="AG24" s="62"/>
      <c r="AH24" s="62"/>
      <c r="AI24" s="62"/>
      <c r="AJ24" s="62"/>
      <c r="AK24" s="4"/>
      <c r="AL24" s="4"/>
      <c r="AM24" s="85"/>
      <c r="AN24" s="63"/>
      <c r="AO24" s="63"/>
      <c r="AP24" s="63"/>
      <c r="AQ24" s="63"/>
      <c r="AR24" s="63"/>
      <c r="AS24" s="4"/>
      <c r="AT24" s="4"/>
    </row>
    <row r="25" spans="1:91" s="60" customFormat="1" ht="11.25">
      <c r="A25" s="12"/>
      <c r="B25" s="12"/>
      <c r="C25" s="4"/>
      <c r="D25" s="100"/>
      <c r="E25" s="4"/>
      <c r="F25" s="62"/>
      <c r="G25" s="62"/>
      <c r="H25" s="108"/>
      <c r="I25" s="108"/>
      <c r="J25" s="108"/>
      <c r="K25" s="62"/>
      <c r="L25" s="108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108"/>
      <c r="AE25" s="62"/>
      <c r="AF25" s="62"/>
      <c r="AG25" s="62"/>
      <c r="AH25" s="62"/>
      <c r="AI25" s="62"/>
      <c r="AJ25" s="62"/>
      <c r="AK25" s="4"/>
      <c r="AL25" s="4"/>
      <c r="AM25" s="85"/>
      <c r="AN25" s="63"/>
      <c r="AO25" s="63"/>
      <c r="AP25" s="63"/>
      <c r="AQ25" s="63"/>
      <c r="AR25" s="63"/>
      <c r="AS25" s="4"/>
      <c r="AT25" s="4"/>
    </row>
    <row r="26" spans="1:91" s="60" customFormat="1" ht="11.25">
      <c r="A26" s="10"/>
      <c r="B26" s="10"/>
      <c r="C26" s="14"/>
      <c r="D26" s="101"/>
      <c r="E26" s="64"/>
      <c r="F26" s="107"/>
      <c r="G26" s="109"/>
      <c r="H26" s="59"/>
      <c r="I26" s="59"/>
      <c r="J26" s="59"/>
      <c r="K26" s="109"/>
      <c r="L26" s="59"/>
      <c r="M26" s="109"/>
      <c r="N26" s="109"/>
      <c r="O26" s="109"/>
      <c r="P26" s="109"/>
      <c r="Q26" s="59"/>
      <c r="R26" s="107"/>
      <c r="S26" s="109"/>
      <c r="T26" s="109"/>
      <c r="U26" s="59"/>
      <c r="V26" s="109"/>
      <c r="W26" s="109"/>
      <c r="X26" s="59"/>
      <c r="Y26" s="109"/>
      <c r="Z26" s="109"/>
      <c r="AA26" s="109"/>
      <c r="AB26" s="109"/>
      <c r="AC26" s="109"/>
      <c r="AD26" s="59"/>
      <c r="AE26" s="109"/>
      <c r="AF26" s="109"/>
      <c r="AG26" s="109"/>
      <c r="AH26" s="109"/>
      <c r="AI26" s="109"/>
      <c r="AJ26" s="109"/>
      <c r="AK26" s="64"/>
      <c r="AM26" s="86"/>
      <c r="AN26" s="10"/>
      <c r="AO26" s="10"/>
      <c r="AP26" s="10"/>
      <c r="AQ26" s="10"/>
      <c r="AR26" s="10"/>
      <c r="AS26" s="14"/>
      <c r="AT26" s="4"/>
    </row>
    <row r="27" spans="1:91" s="60" customFormat="1" ht="12.75">
      <c r="A27" s="2"/>
      <c r="B27" s="2" t="s">
        <v>0</v>
      </c>
      <c r="C27" s="2"/>
      <c r="D27" s="203"/>
      <c r="E27" s="2"/>
      <c r="F27" s="110"/>
      <c r="G27" s="110"/>
      <c r="H27" s="110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  <c r="AA27" s="110"/>
      <c r="AB27" s="110"/>
      <c r="AC27" s="110"/>
      <c r="AD27" s="110"/>
      <c r="AE27" s="110"/>
      <c r="AF27" s="110"/>
      <c r="AG27" s="110"/>
      <c r="AH27" s="111"/>
      <c r="AI27" s="111"/>
      <c r="AJ27" s="111"/>
      <c r="AK27" s="2"/>
      <c r="AL27" s="2"/>
      <c r="AM27" s="87"/>
      <c r="AN27" s="2"/>
      <c r="AO27" s="2"/>
      <c r="AP27" s="2"/>
      <c r="AQ27" s="2"/>
      <c r="AR27" s="2"/>
      <c r="AS27" s="2"/>
      <c r="AT27" s="4"/>
    </row>
    <row r="28" spans="1:91" s="60" customFormat="1" ht="12.75">
      <c r="A28" s="2"/>
      <c r="B28" s="2"/>
      <c r="C28" s="2" t="s">
        <v>40</v>
      </c>
      <c r="D28" s="203"/>
      <c r="E28" s="2"/>
      <c r="F28" s="110"/>
      <c r="G28" s="110"/>
      <c r="H28" s="110"/>
      <c r="I28" s="110"/>
      <c r="J28" s="110"/>
      <c r="K28" s="110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0"/>
      <c r="W28" s="110"/>
      <c r="X28" s="110"/>
      <c r="Y28" s="110"/>
      <c r="Z28" s="110"/>
      <c r="AA28" s="110"/>
      <c r="AB28" s="110"/>
      <c r="AC28" s="110"/>
      <c r="AD28" s="110"/>
      <c r="AE28" s="110"/>
      <c r="AF28" s="110"/>
      <c r="AG28" s="110"/>
      <c r="AH28" s="111"/>
      <c r="AI28" s="111"/>
      <c r="AJ28" s="111"/>
      <c r="AK28" s="2"/>
      <c r="AL28" s="2"/>
      <c r="AM28" s="87"/>
      <c r="AN28" s="2"/>
      <c r="AO28" s="2"/>
      <c r="AP28" s="2"/>
      <c r="AQ28" s="2"/>
      <c r="AR28" s="2"/>
      <c r="AS28" s="2"/>
      <c r="AT28" s="14"/>
    </row>
    <row r="29" spans="1:91" ht="15" customHeight="1">
      <c r="C29" s="2" t="s">
        <v>41</v>
      </c>
    </row>
    <row r="30" spans="1:91" ht="15" customHeight="1">
      <c r="C30" s="2" t="s">
        <v>42</v>
      </c>
    </row>
    <row r="31" spans="1:91" s="203" customFormat="1" ht="15" customHeight="1">
      <c r="A31" s="2"/>
      <c r="B31" s="2"/>
      <c r="C31" s="2" t="s">
        <v>43</v>
      </c>
      <c r="E31" s="2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  <c r="AE31" s="110"/>
      <c r="AF31" s="110"/>
      <c r="AG31" s="110"/>
      <c r="AH31" s="111"/>
      <c r="AI31" s="111"/>
      <c r="AJ31" s="111"/>
      <c r="AK31" s="2"/>
      <c r="AL31" s="2"/>
      <c r="AM31" s="87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03" customFormat="1" ht="15" customHeight="1">
      <c r="A32" s="2"/>
      <c r="B32" s="2"/>
      <c r="C32" s="2" t="s">
        <v>44</v>
      </c>
      <c r="E32" s="2"/>
      <c r="F32" s="110"/>
      <c r="G32" s="110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0"/>
      <c r="AG32" s="110"/>
      <c r="AH32" s="111"/>
      <c r="AI32" s="111"/>
      <c r="AJ32" s="111"/>
      <c r="AK32" s="2"/>
      <c r="AL32" s="2"/>
      <c r="AM32" s="87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203" customFormat="1" ht="15" customHeight="1">
      <c r="A33" s="2"/>
      <c r="B33" s="2"/>
      <c r="C33" s="2" t="s">
        <v>45</v>
      </c>
      <c r="E33" s="2"/>
      <c r="F33" s="110"/>
      <c r="G33" s="110"/>
      <c r="H33" s="110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  <c r="AA33" s="110"/>
      <c r="AB33" s="110"/>
      <c r="AC33" s="110"/>
      <c r="AD33" s="110"/>
      <c r="AE33" s="110"/>
      <c r="AF33" s="110"/>
      <c r="AG33" s="110"/>
      <c r="AH33" s="111"/>
      <c r="AI33" s="111"/>
      <c r="AJ33" s="111"/>
      <c r="AK33" s="2"/>
      <c r="AL33" s="2"/>
      <c r="AM33" s="87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03" customFormat="1" ht="15" customHeight="1">
      <c r="A34" s="2"/>
      <c r="B34" s="2"/>
      <c r="C34" s="2" t="s">
        <v>46</v>
      </c>
      <c r="E34" s="2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1"/>
      <c r="AI34" s="111"/>
      <c r="AJ34" s="111"/>
      <c r="AK34" s="2"/>
      <c r="AL34" s="2"/>
      <c r="AM34" s="87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203" customFormat="1" ht="15" customHeight="1">
      <c r="A35" s="2"/>
      <c r="B35" s="2"/>
      <c r="C35" s="2" t="s">
        <v>47</v>
      </c>
      <c r="E35" s="2"/>
      <c r="F35" s="110"/>
      <c r="G35" s="110"/>
      <c r="H35" s="110"/>
      <c r="I35" s="110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  <c r="AA35" s="110"/>
      <c r="AB35" s="110"/>
      <c r="AC35" s="110"/>
      <c r="AD35" s="110"/>
      <c r="AE35" s="110"/>
      <c r="AF35" s="110"/>
      <c r="AG35" s="110"/>
      <c r="AH35" s="111"/>
      <c r="AI35" s="111"/>
      <c r="AJ35" s="111"/>
      <c r="AK35" s="2"/>
      <c r="AL35" s="2"/>
      <c r="AM35" s="87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203" customFormat="1" ht="15" customHeight="1">
      <c r="A36" s="2"/>
      <c r="B36" s="2"/>
      <c r="C36" s="2" t="s">
        <v>48</v>
      </c>
      <c r="E36" s="2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1"/>
      <c r="AI36" s="111"/>
      <c r="AJ36" s="111"/>
      <c r="AK36" s="2"/>
      <c r="AL36" s="2"/>
      <c r="AM36" s="87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22:J25 Q20:Q21" name="Range1_1_1_1"/>
    <protectedRange password="CC78" sqref="J26" name="Range1_3_1_1"/>
    <protectedRange password="CC78" sqref="A14:A19" name="Range1_1_2"/>
    <protectedRange password="CC78" sqref="C14:E19 A14:A19" name="Range1_6_2"/>
    <protectedRange password="CC78" sqref="B14:B19" name="Range1_4_2"/>
  </protectedRanges>
  <mergeCells count="79"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P16:AP17"/>
    <mergeCell ref="AQ16:AQ17"/>
    <mergeCell ref="AR16:AR17"/>
    <mergeCell ref="AS16:AS17"/>
    <mergeCell ref="AN18:AN19"/>
    <mergeCell ref="AO18:AO19"/>
    <mergeCell ref="AP18:AP19"/>
    <mergeCell ref="AQ18:AQ19"/>
    <mergeCell ref="AR18:AR19"/>
    <mergeCell ref="AS18:AS19"/>
    <mergeCell ref="AP14:AP15"/>
    <mergeCell ref="AQ14:AQ15"/>
    <mergeCell ref="AR14:AR15"/>
    <mergeCell ref="AS14:AS15"/>
    <mergeCell ref="AM1:AS1"/>
    <mergeCell ref="AK5:AM5"/>
    <mergeCell ref="AN5:AN6"/>
    <mergeCell ref="AO5:AO6"/>
    <mergeCell ref="AP5:AP6"/>
    <mergeCell ref="AQ5:AQ6"/>
    <mergeCell ref="AR5:AR6"/>
    <mergeCell ref="AS5:AS6"/>
    <mergeCell ref="AL14:AL15"/>
    <mergeCell ref="AM14:AM15"/>
    <mergeCell ref="AN14:AN15"/>
    <mergeCell ref="AO14:AO15"/>
    <mergeCell ref="AS9:AS10"/>
    <mergeCell ref="A5:A6"/>
    <mergeCell ref="B5:B6"/>
    <mergeCell ref="C5:C6"/>
    <mergeCell ref="D5:D6"/>
    <mergeCell ref="E5:E6"/>
    <mergeCell ref="C14:C15"/>
    <mergeCell ref="D14:D15"/>
    <mergeCell ref="AK14:AK15"/>
    <mergeCell ref="AT5:AT6"/>
    <mergeCell ref="A9:A10"/>
    <mergeCell ref="B9:B10"/>
    <mergeCell ref="C9:C10"/>
    <mergeCell ref="D9:D10"/>
    <mergeCell ref="AK9:AK10"/>
    <mergeCell ref="AL9:AL10"/>
    <mergeCell ref="AM9:AM10"/>
    <mergeCell ref="AN9:AN10"/>
    <mergeCell ref="AO9:AO10"/>
    <mergeCell ref="AP9:AP10"/>
    <mergeCell ref="AQ9:AQ10"/>
    <mergeCell ref="AR9:AR10"/>
    <mergeCell ref="AL18:AL19"/>
    <mergeCell ref="AM18:AM19"/>
    <mergeCell ref="A11:A12"/>
    <mergeCell ref="B11:B12"/>
    <mergeCell ref="C11:C12"/>
    <mergeCell ref="D11:D12"/>
    <mergeCell ref="AK11:AK12"/>
    <mergeCell ref="AL11:AL12"/>
    <mergeCell ref="AM11:AM12"/>
    <mergeCell ref="A18:A19"/>
    <mergeCell ref="B18:B19"/>
    <mergeCell ref="C18:C19"/>
    <mergeCell ref="D18:D19"/>
    <mergeCell ref="AK18:AK19"/>
    <mergeCell ref="A14:A15"/>
    <mergeCell ref="B14:B15"/>
    <mergeCell ref="AS11:AS12"/>
    <mergeCell ref="AN11:AN12"/>
    <mergeCell ref="AO11:AO12"/>
    <mergeCell ref="AP11:AP12"/>
    <mergeCell ref="AQ11:AQ12"/>
    <mergeCell ref="AR11:AR12"/>
  </mergeCells>
  <conditionalFormatting sqref="F5:AJ6 G9 H9:AJ10">
    <cfRule type="expression" dxfId="88" priority="51" stopIfTrue="1">
      <formula>IF(WEEKDAY(F$5)=1,TRUE,FALSE)</formula>
    </cfRule>
  </conditionalFormatting>
  <conditionalFormatting sqref="G9 H9:AJ10">
    <cfRule type="expression" dxfId="87" priority="50" stopIfTrue="1">
      <formula>IF(WEEKDAY(G$5)=1,TRUE,FALSE)</formula>
    </cfRule>
  </conditionalFormatting>
  <conditionalFormatting sqref="F10:G10 F9">
    <cfRule type="expression" dxfId="86" priority="48" stopIfTrue="1">
      <formula>IF(WEEKDAY(F$5)=1,TRUE,FALSE)</formula>
    </cfRule>
  </conditionalFormatting>
  <conditionalFormatting sqref="F10:G10 F9">
    <cfRule type="expression" dxfId="85" priority="47" stopIfTrue="1">
      <formula>IF(WEEKDAY(F$5)=1,TRUE,FALSE)</formula>
    </cfRule>
  </conditionalFormatting>
  <conditionalFormatting sqref="G14 G16 G18 H14:AJ19">
    <cfRule type="expression" dxfId="84" priority="8" stopIfTrue="1">
      <formula>IF(WEEKDAY(G$5)=1,TRUE,FALSE)</formula>
    </cfRule>
  </conditionalFormatting>
  <conditionalFormatting sqref="G14 G16 G18 H14:AJ19">
    <cfRule type="expression" dxfId="83" priority="7" stopIfTrue="1">
      <formula>IF(WEEKDAY(G$5)=1,TRUE,FALSE)</formula>
    </cfRule>
  </conditionalFormatting>
  <conditionalFormatting sqref="F15:G15 F14 F17:G17 F19:G19 F16 F18">
    <cfRule type="expression" dxfId="82" priority="6" stopIfTrue="1">
      <formula>IF(WEEKDAY(F$5)=1,TRUE,FALSE)</formula>
    </cfRule>
  </conditionalFormatting>
  <conditionalFormatting sqref="F15:G15 F14 F17:G17 F19:G19 F16 F18">
    <cfRule type="expression" dxfId="81" priority="5" stopIfTrue="1">
      <formula>IF(WEEKDAY(F$5)=1,TRUE,FALSE)</formula>
    </cfRule>
  </conditionalFormatting>
  <conditionalFormatting sqref="G11 H11:AJ12">
    <cfRule type="expression" dxfId="80" priority="4" stopIfTrue="1">
      <formula>IF(WEEKDAY(G$5)=1,TRUE,FALSE)</formula>
    </cfRule>
  </conditionalFormatting>
  <conditionalFormatting sqref="G11 H11:AJ12">
    <cfRule type="expression" dxfId="79" priority="3" stopIfTrue="1">
      <formula>IF(WEEKDAY(G$5)=1,TRUE,FALSE)</formula>
    </cfRule>
  </conditionalFormatting>
  <conditionalFormatting sqref="F12:G12 F11">
    <cfRule type="expression" dxfId="78" priority="2" stopIfTrue="1">
      <formula>IF(WEEKDAY(F$5)=1,TRUE,FALSE)</formula>
    </cfRule>
  </conditionalFormatting>
  <conditionalFormatting sqref="F12:G12 F11">
    <cfRule type="expression" dxfId="77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0"/>
  <sheetViews>
    <sheetView zoomScaleNormal="70" workbookViewId="0">
      <selection activeCell="O14" sqref="O14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78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26"/>
      <c r="B1" s="207"/>
      <c r="C1" s="207"/>
      <c r="D1" s="273" t="str">
        <f>"BẢNG THANH TOÁN LƯƠNG THÁNG"&amp;" "&amp;TEXT($E$4,"mm")&amp;" / "&amp;TEXT($E$4,"yyyy")</f>
        <v>BẢNG THANH TOÁN LƯƠNG THÁNG 01 / 2017</v>
      </c>
      <c r="E1" s="273"/>
      <c r="F1" s="273"/>
      <c r="G1" s="273"/>
      <c r="H1" s="273"/>
      <c r="I1" s="273"/>
      <c r="J1" s="273"/>
      <c r="K1" s="273"/>
      <c r="L1" s="273"/>
      <c r="M1" s="273"/>
      <c r="N1" s="273"/>
      <c r="O1" s="273"/>
      <c r="P1" s="273"/>
      <c r="Q1" s="274"/>
      <c r="R1" s="275" t="s">
        <v>79</v>
      </c>
      <c r="S1" s="276"/>
      <c r="T1" s="277"/>
      <c r="U1" s="117" t="s">
        <v>51</v>
      </c>
      <c r="V1" s="97" t="s">
        <v>33</v>
      </c>
      <c r="W1" s="70"/>
      <c r="X1" s="70"/>
      <c r="Y1" s="5"/>
      <c r="Z1" s="5"/>
    </row>
    <row r="2" spans="1:31" s="4" customFormat="1" ht="15" customHeight="1">
      <c r="A2" s="126"/>
      <c r="B2" s="207"/>
      <c r="C2" s="207"/>
      <c r="D2" s="207"/>
      <c r="E2" s="68"/>
      <c r="F2" s="207"/>
      <c r="G2" s="207"/>
      <c r="H2" s="207"/>
      <c r="I2" s="207"/>
      <c r="J2" s="69"/>
      <c r="K2" s="207"/>
      <c r="L2" s="207"/>
      <c r="M2" s="207"/>
      <c r="N2" s="207"/>
      <c r="O2" s="207"/>
      <c r="P2" s="207"/>
      <c r="Q2" s="207"/>
      <c r="R2" s="207"/>
      <c r="S2" s="207"/>
      <c r="T2" s="46"/>
      <c r="U2" s="67">
        <f>MAX(F10:F19)</f>
        <v>25</v>
      </c>
      <c r="V2" s="98">
        <v>31</v>
      </c>
      <c r="W2" s="70"/>
      <c r="X2" s="70"/>
      <c r="Y2" s="5"/>
      <c r="Z2" s="5"/>
    </row>
    <row r="3" spans="1:31" s="4" customFormat="1" ht="15" customHeight="1">
      <c r="A3" s="126"/>
      <c r="B3" s="207"/>
      <c r="C3" s="207"/>
      <c r="D3" s="207"/>
      <c r="E3" s="68"/>
      <c r="F3" s="207"/>
      <c r="G3" s="207"/>
      <c r="H3" s="207"/>
      <c r="I3" s="207"/>
      <c r="J3" s="69"/>
      <c r="K3" s="207"/>
      <c r="L3" s="207"/>
      <c r="M3" s="207"/>
      <c r="N3" s="207"/>
      <c r="O3" s="207"/>
      <c r="P3" s="207"/>
      <c r="Q3" s="207"/>
      <c r="R3" s="207"/>
      <c r="S3" s="207"/>
      <c r="T3" s="46"/>
      <c r="U3" s="118"/>
      <c r="V3" s="119"/>
      <c r="W3" s="70"/>
      <c r="X3" s="70"/>
      <c r="Y3" s="5"/>
      <c r="Z3" s="5"/>
    </row>
    <row r="4" spans="1:31" s="92" customFormat="1" ht="14.25" customHeight="1">
      <c r="A4" s="90"/>
      <c r="B4" s="91"/>
      <c r="C4" s="91"/>
      <c r="D4" s="91"/>
      <c r="E4" s="175">
        <f>'CC -1'!$E$4</f>
        <v>42736</v>
      </c>
      <c r="F4" s="91"/>
      <c r="G4" s="91"/>
      <c r="H4" s="91"/>
      <c r="I4" s="91"/>
      <c r="J4" s="91"/>
      <c r="K4" s="91"/>
      <c r="L4" s="91"/>
      <c r="M4" s="91"/>
      <c r="N4" s="148">
        <v>0.08</v>
      </c>
      <c r="O4" s="148">
        <v>1.4999999999999999E-2</v>
      </c>
      <c r="P4" s="148">
        <v>0.01</v>
      </c>
      <c r="Q4" s="91"/>
      <c r="R4" s="91"/>
      <c r="S4" s="91"/>
      <c r="T4" s="91"/>
      <c r="U4" s="91"/>
      <c r="V4" s="93"/>
      <c r="W4" s="93"/>
      <c r="X4" s="93"/>
      <c r="Y4" s="93"/>
      <c r="Z4" s="93"/>
    </row>
    <row r="5" spans="1:31" s="21" customFormat="1" ht="24" customHeight="1">
      <c r="A5" s="278" t="s">
        <v>19</v>
      </c>
      <c r="B5" s="278" t="s">
        <v>20</v>
      </c>
      <c r="C5" s="232" t="s">
        <v>1</v>
      </c>
      <c r="D5" s="232" t="s">
        <v>2</v>
      </c>
      <c r="E5" s="235" t="s">
        <v>49</v>
      </c>
      <c r="F5" s="280" t="s">
        <v>24</v>
      </c>
      <c r="G5" s="281"/>
      <c r="H5" s="281"/>
      <c r="I5" s="281"/>
      <c r="J5" s="281"/>
      <c r="K5" s="282"/>
      <c r="L5" s="269" t="s">
        <v>50</v>
      </c>
      <c r="M5" s="269" t="s">
        <v>5</v>
      </c>
      <c r="N5" s="232" t="s">
        <v>6</v>
      </c>
      <c r="O5" s="232"/>
      <c r="P5" s="232"/>
      <c r="Q5" s="269" t="s">
        <v>7</v>
      </c>
      <c r="R5" s="269" t="s">
        <v>8</v>
      </c>
      <c r="S5" s="269" t="s">
        <v>9</v>
      </c>
      <c r="T5" s="233" t="s">
        <v>10</v>
      </c>
      <c r="U5" s="91"/>
      <c r="V5" s="22"/>
      <c r="W5" s="22"/>
      <c r="X5" s="5"/>
      <c r="Y5" s="5"/>
      <c r="Z5" s="5"/>
      <c r="AA5" s="4"/>
      <c r="AB5" s="4"/>
      <c r="AC5" s="4"/>
      <c r="AD5" s="4"/>
      <c r="AE5" s="4"/>
    </row>
    <row r="6" spans="1:31" s="21" customFormat="1" ht="33.75" customHeight="1">
      <c r="A6" s="279"/>
      <c r="B6" s="279"/>
      <c r="C6" s="232"/>
      <c r="D6" s="232"/>
      <c r="E6" s="235"/>
      <c r="F6" s="280" t="s">
        <v>52</v>
      </c>
      <c r="G6" s="282"/>
      <c r="H6" s="280" t="s">
        <v>71</v>
      </c>
      <c r="I6" s="281"/>
      <c r="J6" s="267" t="s">
        <v>25</v>
      </c>
      <c r="K6" s="269" t="s">
        <v>4</v>
      </c>
      <c r="L6" s="270"/>
      <c r="M6" s="270"/>
      <c r="N6" s="271" t="s">
        <v>12</v>
      </c>
      <c r="O6" s="269" t="s">
        <v>13</v>
      </c>
      <c r="P6" s="269" t="s">
        <v>31</v>
      </c>
      <c r="Q6" s="270"/>
      <c r="R6" s="270"/>
      <c r="S6" s="270"/>
      <c r="T6" s="234"/>
      <c r="U6" s="91"/>
      <c r="V6" s="22"/>
      <c r="W6" s="22"/>
      <c r="X6" s="5"/>
      <c r="Y6" s="5"/>
      <c r="Z6" s="5"/>
      <c r="AA6" s="4"/>
      <c r="AB6" s="4"/>
      <c r="AC6" s="4"/>
      <c r="AD6" s="4"/>
      <c r="AE6" s="4"/>
    </row>
    <row r="7" spans="1:31" s="21" customFormat="1" ht="35.25" customHeight="1">
      <c r="A7" s="279"/>
      <c r="B7" s="279"/>
      <c r="C7" s="269"/>
      <c r="D7" s="269"/>
      <c r="E7" s="235"/>
      <c r="F7" s="206" t="s">
        <v>34</v>
      </c>
      <c r="G7" s="204" t="s">
        <v>18</v>
      </c>
      <c r="H7" s="206" t="s">
        <v>34</v>
      </c>
      <c r="I7" s="115" t="s">
        <v>18</v>
      </c>
      <c r="J7" s="268"/>
      <c r="K7" s="270"/>
      <c r="L7" s="283"/>
      <c r="M7" s="283"/>
      <c r="N7" s="272"/>
      <c r="O7" s="270"/>
      <c r="P7" s="270"/>
      <c r="Q7" s="270"/>
      <c r="R7" s="270"/>
      <c r="S7" s="270"/>
      <c r="T7" s="234"/>
      <c r="U7" s="91"/>
      <c r="V7" s="22"/>
      <c r="W7" s="22"/>
      <c r="X7" s="5"/>
      <c r="Y7" s="5"/>
      <c r="Z7" s="5"/>
      <c r="AA7" s="4"/>
      <c r="AB7" s="4"/>
      <c r="AC7" s="4"/>
      <c r="AD7" s="4"/>
      <c r="AE7" s="4"/>
    </row>
    <row r="8" spans="1:31" s="72" customFormat="1" ht="12.75" customHeight="1">
      <c r="A8" s="71"/>
      <c r="B8" s="71">
        <v>1</v>
      </c>
      <c r="C8" s="71">
        <v>2</v>
      </c>
      <c r="D8" s="71">
        <v>3</v>
      </c>
      <c r="E8" s="71">
        <v>4</v>
      </c>
      <c r="F8" s="71">
        <v>5</v>
      </c>
      <c r="G8" s="71">
        <v>6</v>
      </c>
      <c r="H8" s="71">
        <v>7</v>
      </c>
      <c r="I8" s="71">
        <v>8</v>
      </c>
      <c r="J8" s="71">
        <v>9</v>
      </c>
      <c r="K8" s="71">
        <v>10</v>
      </c>
      <c r="L8" s="71">
        <v>11</v>
      </c>
      <c r="M8" s="71">
        <v>12</v>
      </c>
      <c r="N8" s="71">
        <v>13</v>
      </c>
      <c r="O8" s="71">
        <v>14</v>
      </c>
      <c r="P8" s="71">
        <v>15</v>
      </c>
      <c r="Q8" s="71">
        <v>16</v>
      </c>
      <c r="R8" s="71">
        <v>17</v>
      </c>
      <c r="S8" s="71">
        <v>18</v>
      </c>
      <c r="T8" s="71">
        <v>19</v>
      </c>
      <c r="U8" s="91"/>
      <c r="V8" s="73"/>
      <c r="W8" s="73"/>
      <c r="X8" s="74"/>
      <c r="Y8" s="74"/>
      <c r="Z8" s="74"/>
      <c r="AA8" s="75"/>
      <c r="AB8" s="75"/>
      <c r="AC8" s="75"/>
      <c r="AD8" s="75"/>
      <c r="AE8" s="75"/>
    </row>
    <row r="9" spans="1:31" s="72" customFormat="1" ht="24" customHeight="1">
      <c r="A9" s="174" t="s">
        <v>68</v>
      </c>
      <c r="B9" s="173" t="s">
        <v>80</v>
      </c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2"/>
      <c r="Q9" s="172"/>
      <c r="R9" s="172"/>
      <c r="S9" s="172"/>
      <c r="T9" s="172"/>
      <c r="U9" s="91"/>
      <c r="V9" s="73"/>
      <c r="W9" s="73"/>
      <c r="X9" s="74"/>
      <c r="Y9" s="74"/>
      <c r="Z9" s="74"/>
      <c r="AA9" s="75"/>
      <c r="AB9" s="75"/>
      <c r="AC9" s="75"/>
      <c r="AD9" s="75"/>
      <c r="AE9" s="75"/>
    </row>
    <row r="10" spans="1:31" s="29" customFormat="1" ht="24" customHeight="1">
      <c r="A10" s="31">
        <v>1</v>
      </c>
      <c r="B10" s="128" t="s">
        <v>74</v>
      </c>
      <c r="C10" s="76" t="str">
        <f t="shared" ref="C10" si="0">VLOOKUP(B10,DS,2,0)</f>
        <v>Nguyễn Thị Kim Quyên</v>
      </c>
      <c r="D10" s="103" t="str">
        <f t="shared" ref="D10" si="1">VLOOKUP(B10,DS,3,0)</f>
        <v>Văn Phòng</v>
      </c>
      <c r="E10" s="77">
        <f t="shared" ref="E10" si="2">VLOOKUP(B10,DS,4,0)</f>
        <v>4000000</v>
      </c>
      <c r="F10" s="79">
        <f>VLOOKUP(B10,'CC -1'!$B$9:$AS$20,36,0)</f>
        <v>25</v>
      </c>
      <c r="G10" s="132">
        <f t="shared" ref="G10" si="3">ROUND(E10/$U$2*F10,0)</f>
        <v>4000000</v>
      </c>
      <c r="H10" s="79">
        <f>(VLOOKUP(B10,'CC -1'!$B$9:$AS$20,37,0)+VLOOKUP(B10,'CC -1'!$B$9:$AS$20,38,0))</f>
        <v>0</v>
      </c>
      <c r="I10" s="132">
        <f t="shared" ref="I10" si="4">ROUND(E10/$U$2*H10,0)</f>
        <v>0</v>
      </c>
      <c r="J10" s="80">
        <f t="shared" ref="J10:K10" si="5">F10+H10</f>
        <v>25</v>
      </c>
      <c r="K10" s="32">
        <f t="shared" si="5"/>
        <v>4000000</v>
      </c>
      <c r="L10" s="77">
        <f t="shared" ref="L10" si="6">+F10*15000</f>
        <v>375000</v>
      </c>
      <c r="M10" s="33">
        <f t="shared" ref="M10" si="7">K10+L10</f>
        <v>4375000</v>
      </c>
      <c r="N10" s="33">
        <f t="shared" ref="N10:P11" si="8">IF(VLOOKUP($B10,DS,9,0)="x",$E10*N$4,0)</f>
        <v>0</v>
      </c>
      <c r="O10" s="33">
        <f t="shared" si="8"/>
        <v>0</v>
      </c>
      <c r="P10" s="33">
        <f t="shared" si="8"/>
        <v>0</v>
      </c>
      <c r="Q10" s="32">
        <f t="shared" ref="Q10" si="9">M10-SUM(N10:P10)</f>
        <v>4375000</v>
      </c>
      <c r="R10" s="32">
        <f>VLOOKUP(B10,DS,23,0)</f>
        <v>0</v>
      </c>
      <c r="S10" s="38">
        <f t="shared" ref="S10" si="10">Q10-R10</f>
        <v>4375000</v>
      </c>
      <c r="T10" s="32"/>
      <c r="U10" s="91"/>
      <c r="V10" s="30"/>
      <c r="W10" s="22"/>
      <c r="X10" s="5"/>
      <c r="Y10" s="5"/>
      <c r="Z10" s="5"/>
      <c r="AA10" s="4"/>
      <c r="AB10" s="4"/>
      <c r="AC10" s="4"/>
      <c r="AD10" s="4"/>
      <c r="AE10" s="4"/>
    </row>
    <row r="11" spans="1:31" s="29" customFormat="1" ht="24" customHeight="1">
      <c r="A11" s="31">
        <v>2</v>
      </c>
      <c r="B11" s="128" t="s">
        <v>114</v>
      </c>
      <c r="C11" s="76" t="str">
        <f t="shared" ref="C11" si="11">VLOOKUP(B11,DS,2,0)</f>
        <v>Đinh Hoàng Lợi</v>
      </c>
      <c r="D11" s="103" t="str">
        <f t="shared" ref="D11" si="12">VLOOKUP(B11,DS,3,0)</f>
        <v>Tài xế</v>
      </c>
      <c r="E11" s="77">
        <f t="shared" ref="E11" si="13">VLOOKUP(B11,DS,4,0)</f>
        <v>5000000</v>
      </c>
      <c r="F11" s="79">
        <f>VLOOKUP(B11,'CC -1'!$B$9:$AS$20,36,0)</f>
        <v>25</v>
      </c>
      <c r="G11" s="132">
        <f t="shared" ref="G11" si="14">ROUND(E11/$U$2*F11,0)</f>
        <v>5000000</v>
      </c>
      <c r="H11" s="79">
        <f>(VLOOKUP(B11,'CC -1'!$B$9:$AS$20,37,0)+VLOOKUP(B11,'CC -1'!$B$9:$AS$20,38,0))</f>
        <v>0</v>
      </c>
      <c r="I11" s="132">
        <f t="shared" ref="I11" si="15">ROUND(E11/$U$2*H11,0)</f>
        <v>0</v>
      </c>
      <c r="J11" s="80">
        <f t="shared" ref="J11" si="16">F11+H11</f>
        <v>25</v>
      </c>
      <c r="K11" s="32">
        <f t="shared" ref="K11" si="17">G11+I11</f>
        <v>5000000</v>
      </c>
      <c r="L11" s="77">
        <f t="shared" ref="L11" si="18">+F11*15000</f>
        <v>375000</v>
      </c>
      <c r="M11" s="33">
        <f t="shared" ref="M11" si="19">K11+L11</f>
        <v>5375000</v>
      </c>
      <c r="N11" s="33">
        <f t="shared" si="8"/>
        <v>0</v>
      </c>
      <c r="O11" s="33">
        <f t="shared" si="8"/>
        <v>0</v>
      </c>
      <c r="P11" s="33">
        <f t="shared" si="8"/>
        <v>0</v>
      </c>
      <c r="Q11" s="32">
        <f t="shared" ref="Q11" si="20">M11-SUM(N11:P11)</f>
        <v>5375000</v>
      </c>
      <c r="R11" s="32">
        <f>VLOOKUP(B11,DS,23,0)</f>
        <v>0</v>
      </c>
      <c r="S11" s="38">
        <f t="shared" ref="S11" si="21">Q11-R11</f>
        <v>5375000</v>
      </c>
      <c r="T11" s="32"/>
      <c r="U11" s="91"/>
      <c r="V11" s="30"/>
      <c r="W11" s="22"/>
      <c r="X11" s="5"/>
      <c r="Y11" s="5"/>
      <c r="Z11" s="5"/>
      <c r="AA11" s="4"/>
      <c r="AB11" s="4"/>
      <c r="AC11" s="4"/>
      <c r="AD11" s="4"/>
      <c r="AE11" s="4"/>
    </row>
    <row r="12" spans="1:31" s="29" customFormat="1" ht="24" customHeight="1">
      <c r="A12" s="187"/>
      <c r="B12" s="188"/>
      <c r="C12" s="189"/>
      <c r="D12" s="190"/>
      <c r="E12" s="191"/>
      <c r="F12" s="192"/>
      <c r="G12" s="193"/>
      <c r="H12" s="192"/>
      <c r="I12" s="193"/>
      <c r="J12" s="194"/>
      <c r="K12" s="195"/>
      <c r="L12" s="191"/>
      <c r="M12" s="196"/>
      <c r="N12" s="196"/>
      <c r="O12" s="196"/>
      <c r="P12" s="196"/>
      <c r="Q12" s="195"/>
      <c r="R12" s="195"/>
      <c r="S12" s="197"/>
      <c r="T12" s="195"/>
      <c r="U12" s="91"/>
      <c r="V12" s="30"/>
      <c r="W12" s="22"/>
      <c r="X12" s="5"/>
      <c r="Y12" s="5"/>
      <c r="Z12" s="5"/>
      <c r="AA12" s="4"/>
      <c r="AB12" s="4"/>
      <c r="AC12" s="4"/>
      <c r="AD12" s="4"/>
      <c r="AE12" s="4"/>
    </row>
    <row r="13" spans="1:31" s="25" customFormat="1" ht="21" customHeight="1">
      <c r="A13" s="221" t="s">
        <v>23</v>
      </c>
      <c r="B13" s="222"/>
      <c r="C13" s="222"/>
      <c r="D13" s="223"/>
      <c r="E13" s="127">
        <f>SUM(E9:E12)</f>
        <v>9000000</v>
      </c>
      <c r="F13" s="127"/>
      <c r="G13" s="127">
        <f>SUM(G9:G12)</f>
        <v>9000000</v>
      </c>
      <c r="H13" s="127"/>
      <c r="I13" s="127">
        <f>SUM(I9:I12)</f>
        <v>0</v>
      </c>
      <c r="J13" s="127"/>
      <c r="K13" s="127">
        <f t="shared" ref="K13:S13" si="22">SUM(K9:K12)</f>
        <v>9000000</v>
      </c>
      <c r="L13" s="127">
        <f t="shared" si="22"/>
        <v>750000</v>
      </c>
      <c r="M13" s="127">
        <f t="shared" si="22"/>
        <v>9750000</v>
      </c>
      <c r="N13" s="127">
        <f t="shared" si="22"/>
        <v>0</v>
      </c>
      <c r="O13" s="127">
        <f t="shared" si="22"/>
        <v>0</v>
      </c>
      <c r="P13" s="127">
        <f t="shared" si="22"/>
        <v>0</v>
      </c>
      <c r="Q13" s="127">
        <f t="shared" si="22"/>
        <v>9750000</v>
      </c>
      <c r="R13" s="127">
        <f t="shared" si="22"/>
        <v>0</v>
      </c>
      <c r="S13" s="127">
        <f t="shared" si="22"/>
        <v>9750000</v>
      </c>
      <c r="T13" s="20"/>
      <c r="U13" s="91"/>
      <c r="V13" s="26"/>
      <c r="W13" s="26"/>
      <c r="X13" s="26"/>
      <c r="Y13" s="26"/>
      <c r="Z13" s="26"/>
    </row>
    <row r="14" spans="1:31" s="72" customFormat="1" ht="24" customHeight="1">
      <c r="A14" s="174" t="s">
        <v>69</v>
      </c>
      <c r="B14" s="173" t="s">
        <v>70</v>
      </c>
      <c r="C14" s="172"/>
      <c r="D14" s="172"/>
      <c r="E14" s="172"/>
      <c r="F14" s="172"/>
      <c r="G14" s="172"/>
      <c r="H14" s="172"/>
      <c r="I14" s="172"/>
      <c r="J14" s="172"/>
      <c r="K14" s="172"/>
      <c r="L14" s="172"/>
      <c r="M14" s="172"/>
      <c r="N14" s="172"/>
      <c r="O14" s="172"/>
      <c r="P14" s="172"/>
      <c r="Q14" s="172"/>
      <c r="R14" s="172"/>
      <c r="S14" s="172"/>
      <c r="T14" s="172"/>
      <c r="U14" s="91"/>
      <c r="V14" s="73"/>
      <c r="W14" s="73"/>
      <c r="X14" s="74"/>
      <c r="Y14" s="74"/>
      <c r="Z14" s="74"/>
      <c r="AA14" s="75"/>
      <c r="AB14" s="75"/>
      <c r="AC14" s="75"/>
      <c r="AD14" s="75"/>
      <c r="AE14" s="75"/>
    </row>
    <row r="15" spans="1:31" s="29" customFormat="1" ht="24" customHeight="1">
      <c r="A15" s="31">
        <v>1</v>
      </c>
      <c r="B15" s="128" t="s">
        <v>75</v>
      </c>
      <c r="C15" s="76" t="str">
        <f t="shared" ref="C15:C17" si="23">VLOOKUP(B15,DS,2,0)</f>
        <v>Lê Văn Hữu</v>
      </c>
      <c r="D15" s="103" t="str">
        <f t="shared" ref="D15:D17" si="24">VLOOKUP(B15,DS,3,0)</f>
        <v>Công Đoạn 1</v>
      </c>
      <c r="E15" s="77">
        <f t="shared" ref="E15:E17" si="25">VLOOKUP(B15,DS,4,0)</f>
        <v>3200000</v>
      </c>
      <c r="F15" s="79">
        <f>VLOOKUP(B15,'CC -1'!$B$9:$AS$20,36,0)</f>
        <v>25</v>
      </c>
      <c r="G15" s="132">
        <f t="shared" ref="G15:G17" si="26">ROUND(E15/$U$2*F15,0)</f>
        <v>3200000</v>
      </c>
      <c r="H15" s="79">
        <f>(VLOOKUP(B15,'CC -1'!$B$9:$AS$20,37,0)+VLOOKUP(B15,'CC -1'!$B$9:$AS$20,38,0))</f>
        <v>0</v>
      </c>
      <c r="I15" s="132">
        <f t="shared" ref="I15:I17" si="27">ROUND(E15/$U$2*H15,0)</f>
        <v>0</v>
      </c>
      <c r="J15" s="133">
        <f t="shared" ref="J15:J17" si="28">F15+H15</f>
        <v>25</v>
      </c>
      <c r="K15" s="32">
        <f t="shared" ref="K15:K17" si="29">G15+I15</f>
        <v>3200000</v>
      </c>
      <c r="L15" s="77">
        <f t="shared" ref="L15:L17" si="30">+F15*15000</f>
        <v>375000</v>
      </c>
      <c r="M15" s="33">
        <f t="shared" ref="M15:M17" si="31">K15+L15</f>
        <v>3575000</v>
      </c>
      <c r="N15" s="33">
        <f t="shared" ref="N15:P17" si="32">IF(VLOOKUP($B15,DS,9,0)="x",$E15*N$4,0)</f>
        <v>0</v>
      </c>
      <c r="O15" s="33">
        <f t="shared" si="32"/>
        <v>0</v>
      </c>
      <c r="P15" s="33">
        <f t="shared" si="32"/>
        <v>0</v>
      </c>
      <c r="Q15" s="32">
        <f>M15-SUM(N15:P15)</f>
        <v>3575000</v>
      </c>
      <c r="R15" s="32">
        <f t="shared" ref="R15:R17" si="33">VLOOKUP(B15,DS,23,0)</f>
        <v>0</v>
      </c>
      <c r="S15" s="38">
        <f>Q15-R15</f>
        <v>3575000</v>
      </c>
      <c r="T15" s="32"/>
      <c r="U15" s="91"/>
      <c r="V15" s="30"/>
      <c r="W15" s="22"/>
      <c r="X15" s="5"/>
      <c r="Y15" s="5"/>
      <c r="Z15" s="5"/>
      <c r="AA15" s="4"/>
      <c r="AB15" s="4"/>
      <c r="AC15" s="4"/>
      <c r="AD15" s="4"/>
      <c r="AE15" s="4"/>
    </row>
    <row r="16" spans="1:31" s="29" customFormat="1" ht="24" customHeight="1">
      <c r="A16" s="31">
        <v>2</v>
      </c>
      <c r="B16" s="128" t="s">
        <v>76</v>
      </c>
      <c r="C16" s="76" t="str">
        <f t="shared" si="23"/>
        <v>Lý Thanh Hải</v>
      </c>
      <c r="D16" s="103" t="str">
        <f t="shared" si="24"/>
        <v>Công Đoạn 1</v>
      </c>
      <c r="E16" s="77">
        <f t="shared" si="25"/>
        <v>5000000</v>
      </c>
      <c r="F16" s="79">
        <f>VLOOKUP(B16,'CC -1'!$B$9:$AS$20,36,0)</f>
        <v>25</v>
      </c>
      <c r="G16" s="132">
        <f t="shared" si="26"/>
        <v>5000000</v>
      </c>
      <c r="H16" s="79">
        <f>(VLOOKUP(B16,'CC -1'!$B$9:$AS$20,37,0)+VLOOKUP(B16,'CC -1'!$B$9:$AS$20,38,0))</f>
        <v>0</v>
      </c>
      <c r="I16" s="132">
        <f t="shared" si="27"/>
        <v>0</v>
      </c>
      <c r="J16" s="133">
        <f t="shared" si="28"/>
        <v>25</v>
      </c>
      <c r="K16" s="32">
        <f t="shared" si="29"/>
        <v>5000000</v>
      </c>
      <c r="L16" s="77">
        <f t="shared" si="30"/>
        <v>375000</v>
      </c>
      <c r="M16" s="33">
        <f t="shared" si="31"/>
        <v>5375000</v>
      </c>
      <c r="N16" s="33">
        <f t="shared" si="32"/>
        <v>0</v>
      </c>
      <c r="O16" s="33">
        <f t="shared" si="32"/>
        <v>0</v>
      </c>
      <c r="P16" s="33">
        <f t="shared" si="32"/>
        <v>0</v>
      </c>
      <c r="Q16" s="32">
        <f t="shared" ref="Q16:Q17" si="34">M16-SUM(N16:P16)</f>
        <v>5375000</v>
      </c>
      <c r="R16" s="32">
        <f t="shared" si="33"/>
        <v>0</v>
      </c>
      <c r="S16" s="38">
        <f t="shared" ref="S16:S17" si="35">Q16-R16</f>
        <v>5375000</v>
      </c>
      <c r="T16" s="32"/>
      <c r="U16" s="91"/>
      <c r="V16" s="30"/>
      <c r="W16" s="22"/>
      <c r="X16" s="5"/>
      <c r="Y16" s="5"/>
      <c r="Z16" s="5"/>
      <c r="AA16" s="4"/>
      <c r="AB16" s="4"/>
      <c r="AC16" s="4"/>
      <c r="AD16" s="4"/>
      <c r="AE16" s="4"/>
    </row>
    <row r="17" spans="1:31" s="29" customFormat="1" ht="24" customHeight="1">
      <c r="A17" s="31">
        <v>3</v>
      </c>
      <c r="B17" s="128" t="s">
        <v>77</v>
      </c>
      <c r="C17" s="76" t="str">
        <f t="shared" si="23"/>
        <v>Cao Minh Chí</v>
      </c>
      <c r="D17" s="103" t="str">
        <f t="shared" si="24"/>
        <v>Công Đoạn 2</v>
      </c>
      <c r="E17" s="77">
        <f t="shared" si="25"/>
        <v>3200000</v>
      </c>
      <c r="F17" s="79">
        <f>VLOOKUP(B17,'CC -1'!$B$9:$AS$20,36,0)</f>
        <v>25</v>
      </c>
      <c r="G17" s="132">
        <f t="shared" si="26"/>
        <v>3200000</v>
      </c>
      <c r="H17" s="79">
        <f>(VLOOKUP(B17,'CC -1'!$B$9:$AS$20,37,0)+VLOOKUP(B17,'CC -1'!$B$9:$AS$20,38,0))</f>
        <v>0</v>
      </c>
      <c r="I17" s="132">
        <f t="shared" si="27"/>
        <v>0</v>
      </c>
      <c r="J17" s="133">
        <f t="shared" si="28"/>
        <v>25</v>
      </c>
      <c r="K17" s="32">
        <f t="shared" si="29"/>
        <v>3200000</v>
      </c>
      <c r="L17" s="77">
        <f t="shared" si="30"/>
        <v>375000</v>
      </c>
      <c r="M17" s="33">
        <f t="shared" si="31"/>
        <v>3575000</v>
      </c>
      <c r="N17" s="33">
        <f t="shared" si="32"/>
        <v>0</v>
      </c>
      <c r="O17" s="33">
        <f t="shared" si="32"/>
        <v>0</v>
      </c>
      <c r="P17" s="33">
        <f t="shared" si="32"/>
        <v>0</v>
      </c>
      <c r="Q17" s="32">
        <f t="shared" si="34"/>
        <v>3575000</v>
      </c>
      <c r="R17" s="32">
        <f t="shared" si="33"/>
        <v>0</v>
      </c>
      <c r="S17" s="38">
        <f t="shared" si="35"/>
        <v>3575000</v>
      </c>
      <c r="T17" s="32"/>
      <c r="U17" s="91"/>
      <c r="V17" s="30"/>
      <c r="W17" s="22"/>
      <c r="X17" s="5"/>
      <c r="Y17" s="5"/>
      <c r="Z17" s="5"/>
      <c r="AA17" s="4"/>
      <c r="AB17" s="4"/>
      <c r="AC17" s="4"/>
      <c r="AD17" s="4"/>
      <c r="AE17" s="4"/>
    </row>
    <row r="18" spans="1:31" s="29" customFormat="1" ht="22.5" customHeight="1">
      <c r="A18" s="34"/>
      <c r="B18" s="171"/>
      <c r="C18" s="35"/>
      <c r="D18" s="3"/>
      <c r="E18" s="36"/>
      <c r="F18" s="36"/>
      <c r="G18" s="36"/>
      <c r="H18" s="36"/>
      <c r="I18" s="36"/>
      <c r="J18" s="37"/>
      <c r="K18" s="36"/>
      <c r="L18" s="36"/>
      <c r="M18" s="170"/>
      <c r="N18" s="36"/>
      <c r="O18" s="36"/>
      <c r="P18" s="36"/>
      <c r="Q18" s="36"/>
      <c r="R18" s="36"/>
      <c r="S18" s="36"/>
      <c r="T18" s="32"/>
      <c r="U18" s="91"/>
      <c r="V18" s="30"/>
      <c r="W18" s="30"/>
      <c r="X18" s="30"/>
      <c r="Y18" s="30"/>
      <c r="Z18" s="30"/>
    </row>
    <row r="19" spans="1:31" s="25" customFormat="1" ht="21" customHeight="1">
      <c r="A19" s="221" t="s">
        <v>23</v>
      </c>
      <c r="B19" s="222"/>
      <c r="C19" s="222"/>
      <c r="D19" s="223"/>
      <c r="E19" s="127">
        <f>SUM(E14:E18)</f>
        <v>11400000</v>
      </c>
      <c r="F19" s="127"/>
      <c r="G19" s="127">
        <f>SUM(G14:G18)</f>
        <v>11400000</v>
      </c>
      <c r="H19" s="127"/>
      <c r="I19" s="127">
        <f>SUM(I14:I18)</f>
        <v>0</v>
      </c>
      <c r="J19" s="127"/>
      <c r="K19" s="127">
        <f t="shared" ref="K19:S19" si="36">SUM(K14:K18)</f>
        <v>11400000</v>
      </c>
      <c r="L19" s="127">
        <f t="shared" si="36"/>
        <v>1125000</v>
      </c>
      <c r="M19" s="127">
        <f t="shared" si="36"/>
        <v>12525000</v>
      </c>
      <c r="N19" s="127">
        <f t="shared" si="36"/>
        <v>0</v>
      </c>
      <c r="O19" s="127">
        <f t="shared" si="36"/>
        <v>0</v>
      </c>
      <c r="P19" s="127">
        <f t="shared" si="36"/>
        <v>0</v>
      </c>
      <c r="Q19" s="127">
        <f t="shared" si="36"/>
        <v>12525000</v>
      </c>
      <c r="R19" s="127">
        <f t="shared" si="36"/>
        <v>0</v>
      </c>
      <c r="S19" s="127">
        <f t="shared" si="36"/>
        <v>12525000</v>
      </c>
      <c r="T19" s="20"/>
      <c r="U19" s="208"/>
      <c r="V19" s="26"/>
      <c r="W19" s="26"/>
      <c r="X19" s="26"/>
      <c r="Y19" s="26"/>
      <c r="Z19" s="26"/>
    </row>
    <row r="20" spans="1:31" ht="11.25" customHeight="1">
      <c r="A20" s="8"/>
      <c r="B20" s="8"/>
      <c r="C20" s="9"/>
      <c r="D20" s="104"/>
      <c r="E20" s="81"/>
      <c r="F20" s="9"/>
      <c r="G20" s="9"/>
      <c r="H20" s="9"/>
      <c r="I20" s="9"/>
      <c r="K20" s="9"/>
      <c r="L20" s="9"/>
      <c r="M20" s="89"/>
      <c r="N20" s="9"/>
      <c r="O20" s="9"/>
      <c r="P20" s="9"/>
      <c r="Q20" s="9"/>
      <c r="R20" s="9"/>
      <c r="S20" s="9"/>
      <c r="T20" s="9"/>
      <c r="U20" s="91"/>
    </row>
    <row r="21" spans="1:31" s="29" customFormat="1" ht="11.25" customHeight="1">
      <c r="A21" s="65"/>
      <c r="B21" s="65"/>
      <c r="C21" s="65"/>
      <c r="D21" s="120"/>
      <c r="E21" s="121"/>
      <c r="F21" s="65"/>
      <c r="G21" s="65"/>
      <c r="H21" s="65"/>
      <c r="I21" s="65"/>
      <c r="J21" s="122"/>
      <c r="K21" s="121"/>
      <c r="L21" s="65"/>
      <c r="M21" s="65"/>
      <c r="N21" s="65"/>
      <c r="O21" s="65"/>
      <c r="P21" s="65"/>
      <c r="Q21" s="65"/>
      <c r="R21" s="65"/>
      <c r="S21" s="95" t="str">
        <f>"Bình Chánh, ngày  "&amp;$V$2&amp;"   tháng   "&amp;TEXT(E4,"mm")&amp;"   năm "&amp;TEXT(E4,"yyyy")</f>
        <v>Bình Chánh, ngày  31   tháng   01   năm 2017</v>
      </c>
      <c r="T21" s="65"/>
      <c r="U21" s="123"/>
      <c r="V21" s="30"/>
      <c r="W21" s="30"/>
      <c r="X21" s="30"/>
      <c r="Y21" s="30"/>
      <c r="Z21" s="30"/>
    </row>
    <row r="22" spans="1:31" s="29" customFormat="1" ht="12.75">
      <c r="A22" s="23"/>
      <c r="B22" s="23"/>
      <c r="C22" s="23" t="s">
        <v>53</v>
      </c>
      <c r="D22" s="124"/>
      <c r="E22" s="66"/>
      <c r="F22" s="123"/>
      <c r="G22" s="66"/>
      <c r="H22" s="66"/>
      <c r="I22" s="66"/>
      <c r="J22" s="125"/>
      <c r="K22" s="30"/>
      <c r="L22" s="23"/>
      <c r="M22" s="134"/>
      <c r="N22" s="19"/>
      <c r="O22" s="19"/>
      <c r="P22" s="19"/>
      <c r="Q22" s="19"/>
      <c r="S22" s="123" t="s">
        <v>21</v>
      </c>
      <c r="T22" s="123"/>
      <c r="U22" s="123"/>
      <c r="V22" s="30"/>
      <c r="W22" s="30"/>
      <c r="X22" s="30"/>
      <c r="Y22" s="30"/>
      <c r="Z22" s="30"/>
    </row>
    <row r="23" spans="1:31" ht="12">
      <c r="A23" s="8"/>
      <c r="B23" s="8"/>
      <c r="C23" s="15"/>
      <c r="E23" s="13"/>
      <c r="F23" s="12"/>
      <c r="G23" s="13"/>
      <c r="H23" s="13"/>
      <c r="I23" s="13"/>
      <c r="K23" s="7"/>
      <c r="L23" s="15"/>
      <c r="N23" s="11"/>
      <c r="O23" s="11"/>
      <c r="P23" s="11"/>
      <c r="Q23" s="11"/>
      <c r="S23" s="11"/>
      <c r="T23" s="12"/>
      <c r="U23" s="91"/>
    </row>
    <row r="24" spans="1:31" ht="12">
      <c r="C24" s="15"/>
      <c r="L24" s="15"/>
      <c r="T24" s="15"/>
      <c r="U24" s="91"/>
    </row>
    <row r="25" spans="1:31" ht="12">
      <c r="U25" s="91"/>
    </row>
    <row r="26" spans="1:31" ht="12">
      <c r="U26" s="91"/>
    </row>
    <row r="27" spans="1:31" ht="12">
      <c r="U27" s="91"/>
    </row>
    <row r="28" spans="1:31" ht="12">
      <c r="U28" s="91"/>
    </row>
    <row r="29" spans="1:31" ht="12">
      <c r="U29" s="91"/>
    </row>
    <row r="30" spans="1:31" ht="12">
      <c r="U30" s="91"/>
    </row>
  </sheetData>
  <protectedRanges>
    <protectedRange password="CC78" sqref="V18:IK19 C5:D7 B22:C22 V5:W9 A18:A23 B18:B21 B23 V14:W14 Q5:T7 E5:I6 N5:P6 L5 L22 J6:K7 L7 A25:T58 U31:U58 N18:S18 V25:IK58 J18:L18 A59:IK65326 AF14:IK14 V13:IK13 D19:T19 D13:T13 W10:W12 AF5:IK12 Q10:S12 A10:B13" name="Range1"/>
    <protectedRange password="CC78" sqref="F7:H7" name="Range1_4"/>
    <protectedRange password="CC78" sqref="V22:IK23 S22:T23 N22:Q23 E22:I23" name="Range1_1_1"/>
    <protectedRange password="CC78" sqref="U1 W1:IK3 V4:IK4 B4:T4 R2:S3 B1:Q3 U18:U30 X14:AE14 U4:U14 X5:AE12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W15:W17 A15:B17 Q15:S17 AF15:IK17" name="Range1_5"/>
    <protectedRange password="CC78" sqref="X15:AE17 U15:U17" name="Range1_2_3"/>
    <protectedRange password="CC78" sqref="V15:V17" name="Range1_1_3"/>
    <protectedRange password="CC78" sqref="K15:K17 K10:K12" name="Range1_6"/>
    <protectedRange password="CC78" sqref="A2:A3" name="Range1_2_1_3"/>
  </protectedRanges>
  <autoFilter ref="A7:AE9"/>
  <mergeCells count="22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X10" sqref="X10"/>
      <selection pane="topRight" activeCell="X10" sqref="X10"/>
      <selection pane="bottomLeft" activeCell="X10" sqref="X10"/>
      <selection pane="bottomRight" activeCell="A9" sqref="A9:B12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03" customWidth="1"/>
    <col min="5" max="5" width="7.140625" style="2" customWidth="1"/>
    <col min="6" max="34" width="3.42578125" style="110" customWidth="1"/>
    <col min="35" max="36" width="4.42578125" style="2" customWidth="1"/>
    <col min="37" max="37" width="5.5703125" style="87" customWidth="1"/>
    <col min="38" max="38" width="6.140625" style="2" customWidth="1"/>
    <col min="39" max="41" width="5" style="2" hidden="1" customWidth="1"/>
    <col min="42" max="42" width="5" style="2" customWidth="1"/>
    <col min="43" max="43" width="11.7109375" style="2" customWidth="1"/>
    <col min="44" max="44" width="9.85546875" style="2" customWidth="1"/>
    <col min="45" max="45" width="3.7109375" style="2" customWidth="1"/>
    <col min="46" max="46" width="8.5703125" style="2" customWidth="1"/>
    <col min="47" max="16384" width="3.7109375" style="2"/>
  </cols>
  <sheetData>
    <row r="1" spans="1:89" ht="37.5" customHeight="1">
      <c r="A1" s="126"/>
      <c r="B1" s="41"/>
      <c r="C1" s="41"/>
      <c r="D1" s="45"/>
      <c r="E1" s="41"/>
      <c r="F1" s="45"/>
      <c r="G1" s="45"/>
      <c r="H1" s="45"/>
      <c r="I1" s="45"/>
      <c r="J1" s="45"/>
      <c r="K1" s="106"/>
      <c r="L1" s="106"/>
      <c r="M1" s="106"/>
      <c r="N1" s="106"/>
      <c r="O1" s="106"/>
      <c r="P1" s="106"/>
      <c r="Q1" s="106"/>
      <c r="R1" s="106"/>
      <c r="S1" s="43" t="str">
        <f>CONCATENATE("BẢNG CHẤM CÔNG THÁNG ",TEXT($E$4,"mm")," NĂM ",TEXT($E$4,"yyyy"))</f>
        <v>BẢNG CHẤM CÔNG THÁNG 02 NĂM 2017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42"/>
      <c r="AJ1" s="42"/>
      <c r="AK1" s="259" t="s">
        <v>79</v>
      </c>
      <c r="AL1" s="260"/>
      <c r="AM1" s="260"/>
      <c r="AN1" s="260"/>
      <c r="AO1" s="260"/>
      <c r="AP1" s="260"/>
      <c r="AQ1" s="261"/>
      <c r="AR1" s="44"/>
    </row>
    <row r="2" spans="1:89" ht="20.25">
      <c r="A2" s="126"/>
      <c r="B2" s="45"/>
      <c r="C2" s="45"/>
      <c r="D2" s="45"/>
      <c r="E2" s="45"/>
      <c r="F2" s="45"/>
      <c r="G2" s="45"/>
      <c r="H2" s="45"/>
      <c r="I2" s="45"/>
      <c r="J2" s="45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42"/>
      <c r="AJ2" s="42"/>
      <c r="AK2" s="83"/>
      <c r="AL2" s="46"/>
      <c r="AM2" s="46"/>
      <c r="AN2" s="46"/>
      <c r="AO2" s="46"/>
      <c r="AP2" s="46"/>
      <c r="AQ2" s="82"/>
      <c r="AR2" s="82"/>
    </row>
    <row r="3" spans="1:89" ht="21" customHeight="1">
      <c r="A3" s="126"/>
      <c r="B3" s="47"/>
      <c r="C3" s="47"/>
      <c r="D3" s="48"/>
      <c r="E3" s="48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42"/>
      <c r="AJ3" s="42"/>
      <c r="AK3" s="83"/>
      <c r="AL3" s="44"/>
      <c r="AM3" s="44"/>
      <c r="AN3" s="44"/>
      <c r="AO3" s="44"/>
      <c r="AP3" s="44"/>
      <c r="AQ3" s="49"/>
      <c r="AR3" s="49"/>
    </row>
    <row r="4" spans="1:89" ht="14.25" customHeight="1">
      <c r="A4" s="50"/>
      <c r="B4" s="50"/>
      <c r="C4" s="142"/>
      <c r="D4" s="141"/>
      <c r="E4" s="51">
        <v>42767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0"/>
      <c r="AJ4" s="50"/>
      <c r="AK4" s="84"/>
      <c r="AL4" s="50"/>
      <c r="AM4" s="50"/>
      <c r="AN4" s="50"/>
      <c r="AO4" s="50"/>
      <c r="AP4" s="50"/>
      <c r="AQ4" s="50"/>
      <c r="AR4" s="88"/>
    </row>
    <row r="5" spans="1:89" s="54" customFormat="1" ht="18.75" customHeight="1">
      <c r="A5" s="256" t="s">
        <v>26</v>
      </c>
      <c r="B5" s="256" t="s">
        <v>3</v>
      </c>
      <c r="C5" s="256" t="s">
        <v>1</v>
      </c>
      <c r="D5" s="258" t="s">
        <v>27</v>
      </c>
      <c r="E5" s="256" t="s">
        <v>28</v>
      </c>
      <c r="F5" s="105">
        <f>+E4</f>
        <v>42767</v>
      </c>
      <c r="G5" s="105">
        <f t="shared" ref="G5:AH5" si="0">F5+1</f>
        <v>42768</v>
      </c>
      <c r="H5" s="105">
        <f t="shared" si="0"/>
        <v>42769</v>
      </c>
      <c r="I5" s="105">
        <f t="shared" si="0"/>
        <v>42770</v>
      </c>
      <c r="J5" s="105">
        <f t="shared" si="0"/>
        <v>42771</v>
      </c>
      <c r="K5" s="105">
        <f t="shared" si="0"/>
        <v>42772</v>
      </c>
      <c r="L5" s="105">
        <f t="shared" si="0"/>
        <v>42773</v>
      </c>
      <c r="M5" s="105">
        <f t="shared" si="0"/>
        <v>42774</v>
      </c>
      <c r="N5" s="105">
        <f t="shared" si="0"/>
        <v>42775</v>
      </c>
      <c r="O5" s="105">
        <f t="shared" si="0"/>
        <v>42776</v>
      </c>
      <c r="P5" s="105">
        <f t="shared" si="0"/>
        <v>42777</v>
      </c>
      <c r="Q5" s="105">
        <f t="shared" si="0"/>
        <v>42778</v>
      </c>
      <c r="R5" s="105">
        <f t="shared" si="0"/>
        <v>42779</v>
      </c>
      <c r="S5" s="105">
        <f t="shared" si="0"/>
        <v>42780</v>
      </c>
      <c r="T5" s="105">
        <f t="shared" si="0"/>
        <v>42781</v>
      </c>
      <c r="U5" s="105">
        <f t="shared" si="0"/>
        <v>42782</v>
      </c>
      <c r="V5" s="105">
        <f t="shared" si="0"/>
        <v>42783</v>
      </c>
      <c r="W5" s="105">
        <f t="shared" si="0"/>
        <v>42784</v>
      </c>
      <c r="X5" s="105">
        <f t="shared" si="0"/>
        <v>42785</v>
      </c>
      <c r="Y5" s="105">
        <f t="shared" si="0"/>
        <v>42786</v>
      </c>
      <c r="Z5" s="105">
        <f t="shared" si="0"/>
        <v>42787</v>
      </c>
      <c r="AA5" s="105">
        <f t="shared" si="0"/>
        <v>42788</v>
      </c>
      <c r="AB5" s="105">
        <f t="shared" si="0"/>
        <v>42789</v>
      </c>
      <c r="AC5" s="105">
        <f t="shared" si="0"/>
        <v>42790</v>
      </c>
      <c r="AD5" s="105">
        <f t="shared" si="0"/>
        <v>42791</v>
      </c>
      <c r="AE5" s="105">
        <f t="shared" si="0"/>
        <v>42792</v>
      </c>
      <c r="AF5" s="105">
        <f t="shared" si="0"/>
        <v>42793</v>
      </c>
      <c r="AG5" s="105">
        <f t="shared" si="0"/>
        <v>42794</v>
      </c>
      <c r="AH5" s="105">
        <f t="shared" si="0"/>
        <v>42795</v>
      </c>
      <c r="AI5" s="262" t="s">
        <v>15</v>
      </c>
      <c r="AJ5" s="263"/>
      <c r="AK5" s="264"/>
      <c r="AL5" s="265" t="s">
        <v>39</v>
      </c>
      <c r="AM5" s="265" t="s">
        <v>35</v>
      </c>
      <c r="AN5" s="265" t="s">
        <v>36</v>
      </c>
      <c r="AO5" s="265" t="s">
        <v>37</v>
      </c>
      <c r="AP5" s="265" t="s">
        <v>38</v>
      </c>
      <c r="AQ5" s="258" t="s">
        <v>0</v>
      </c>
      <c r="AR5" s="255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</row>
    <row r="6" spans="1:89" s="54" customFormat="1" ht="39.75" customHeight="1">
      <c r="A6" s="257"/>
      <c r="B6" s="257"/>
      <c r="C6" s="257"/>
      <c r="D6" s="257"/>
      <c r="E6" s="257"/>
      <c r="F6" s="160" t="str">
        <f>CHOOSE(WEEKDAY(F5),"C.Nhật","T.Hai","T.Ba","T.Tư","T.Năm","T.Sáu","T.Bảy")</f>
        <v>T.Tư</v>
      </c>
      <c r="G6" s="160" t="str">
        <f t="shared" ref="G6:AG6" si="1">CHOOSE(WEEKDAY(G5),"C.Nhật","T.Hai","T.Ba","T.Tư","T.Năm","T.Sáu","T.Bảy")</f>
        <v>T.Năm</v>
      </c>
      <c r="H6" s="160" t="str">
        <f t="shared" si="1"/>
        <v>T.Sáu</v>
      </c>
      <c r="I6" s="160" t="str">
        <f t="shared" si="1"/>
        <v>T.Bảy</v>
      </c>
      <c r="J6" s="160" t="str">
        <f t="shared" si="1"/>
        <v>C.Nhật</v>
      </c>
      <c r="K6" s="160" t="str">
        <f t="shared" si="1"/>
        <v>T.Hai</v>
      </c>
      <c r="L6" s="160" t="str">
        <f t="shared" si="1"/>
        <v>T.Ba</v>
      </c>
      <c r="M6" s="160" t="str">
        <f t="shared" si="1"/>
        <v>T.Tư</v>
      </c>
      <c r="N6" s="160" t="str">
        <f t="shared" si="1"/>
        <v>T.Năm</v>
      </c>
      <c r="O6" s="160" t="str">
        <f t="shared" si="1"/>
        <v>T.Sáu</v>
      </c>
      <c r="P6" s="160" t="str">
        <f t="shared" si="1"/>
        <v>T.Bảy</v>
      </c>
      <c r="Q6" s="160" t="str">
        <f t="shared" si="1"/>
        <v>C.Nhật</v>
      </c>
      <c r="R6" s="160" t="str">
        <f t="shared" si="1"/>
        <v>T.Hai</v>
      </c>
      <c r="S6" s="160" t="str">
        <f t="shared" si="1"/>
        <v>T.Ba</v>
      </c>
      <c r="T6" s="160" t="str">
        <f t="shared" si="1"/>
        <v>T.Tư</v>
      </c>
      <c r="U6" s="160" t="str">
        <f t="shared" si="1"/>
        <v>T.Năm</v>
      </c>
      <c r="V6" s="160" t="str">
        <f t="shared" si="1"/>
        <v>T.Sáu</v>
      </c>
      <c r="W6" s="160" t="str">
        <f t="shared" si="1"/>
        <v>T.Bảy</v>
      </c>
      <c r="X6" s="160" t="str">
        <f t="shared" si="1"/>
        <v>C.Nhật</v>
      </c>
      <c r="Y6" s="160" t="str">
        <f t="shared" si="1"/>
        <v>T.Hai</v>
      </c>
      <c r="Z6" s="160" t="str">
        <f t="shared" si="1"/>
        <v>T.Ba</v>
      </c>
      <c r="AA6" s="160" t="str">
        <f t="shared" si="1"/>
        <v>T.Tư</v>
      </c>
      <c r="AB6" s="160" t="str">
        <f t="shared" si="1"/>
        <v>T.Năm</v>
      </c>
      <c r="AC6" s="160" t="str">
        <f t="shared" si="1"/>
        <v>T.Sáu</v>
      </c>
      <c r="AD6" s="160" t="str">
        <f t="shared" si="1"/>
        <v>T.Bảy</v>
      </c>
      <c r="AE6" s="160" t="str">
        <f t="shared" si="1"/>
        <v>C.Nhật</v>
      </c>
      <c r="AF6" s="160" t="str">
        <f t="shared" si="1"/>
        <v>T.Hai</v>
      </c>
      <c r="AG6" s="160" t="str">
        <f t="shared" si="1"/>
        <v>T.Ba</v>
      </c>
      <c r="AH6" s="160" t="str">
        <f t="shared" ref="AH6" si="2">CHOOSE(WEEKDAY(AH5),"C.Nhật","T.Hai","T.Ba","T.Tư","T.Năm","T.Sáu","T.Bảy")</f>
        <v>T.Tư</v>
      </c>
      <c r="AI6" s="161" t="s">
        <v>16</v>
      </c>
      <c r="AJ6" s="161" t="s">
        <v>29</v>
      </c>
      <c r="AK6" s="162" t="s">
        <v>17</v>
      </c>
      <c r="AL6" s="266"/>
      <c r="AM6" s="266"/>
      <c r="AN6" s="266"/>
      <c r="AO6" s="266"/>
      <c r="AP6" s="266"/>
      <c r="AQ6" s="257"/>
      <c r="AR6" s="255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</row>
    <row r="7" spans="1:89" s="54" customFormat="1" ht="12.75" customHeight="1">
      <c r="A7" s="163">
        <v>1</v>
      </c>
      <c r="B7" s="163">
        <v>1</v>
      </c>
      <c r="C7" s="163">
        <v>2</v>
      </c>
      <c r="D7" s="163">
        <v>3</v>
      </c>
      <c r="E7" s="163">
        <v>4</v>
      </c>
      <c r="F7" s="163">
        <v>5</v>
      </c>
      <c r="G7" s="163">
        <v>6</v>
      </c>
      <c r="H7" s="163">
        <v>7</v>
      </c>
      <c r="I7" s="163">
        <v>8</v>
      </c>
      <c r="J7" s="163">
        <v>9</v>
      </c>
      <c r="K7" s="163">
        <v>10</v>
      </c>
      <c r="L7" s="163">
        <v>11</v>
      </c>
      <c r="M7" s="163">
        <v>12</v>
      </c>
      <c r="N7" s="163">
        <v>13</v>
      </c>
      <c r="O7" s="163">
        <v>14</v>
      </c>
      <c r="P7" s="163">
        <v>15</v>
      </c>
      <c r="Q7" s="163">
        <v>16</v>
      </c>
      <c r="R7" s="163">
        <v>17</v>
      </c>
      <c r="S7" s="163">
        <v>18</v>
      </c>
      <c r="T7" s="163">
        <v>19</v>
      </c>
      <c r="U7" s="163">
        <v>20</v>
      </c>
      <c r="V7" s="163">
        <v>21</v>
      </c>
      <c r="W7" s="163">
        <v>22</v>
      </c>
      <c r="X7" s="163">
        <v>23</v>
      </c>
      <c r="Y7" s="163">
        <v>24</v>
      </c>
      <c r="Z7" s="163">
        <v>25</v>
      </c>
      <c r="AA7" s="163">
        <v>26</v>
      </c>
      <c r="AB7" s="163">
        <v>27</v>
      </c>
      <c r="AC7" s="163">
        <v>28</v>
      </c>
      <c r="AD7" s="163">
        <v>29</v>
      </c>
      <c r="AE7" s="163">
        <v>30</v>
      </c>
      <c r="AF7" s="163">
        <v>31</v>
      </c>
      <c r="AG7" s="163">
        <v>32</v>
      </c>
      <c r="AH7" s="163">
        <v>32</v>
      </c>
      <c r="AI7" s="163">
        <v>34</v>
      </c>
      <c r="AJ7" s="163">
        <v>35</v>
      </c>
      <c r="AK7" s="163">
        <v>36</v>
      </c>
      <c r="AL7" s="163">
        <v>37</v>
      </c>
      <c r="AM7" s="163">
        <v>38</v>
      </c>
      <c r="AN7" s="163">
        <v>39</v>
      </c>
      <c r="AO7" s="163">
        <v>40</v>
      </c>
      <c r="AP7" s="163">
        <v>41</v>
      </c>
      <c r="AQ7" s="163">
        <v>42</v>
      </c>
      <c r="AR7" s="205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</row>
    <row r="8" spans="1:89" s="166" customFormat="1" ht="21" customHeight="1">
      <c r="A8" s="164" t="s">
        <v>68</v>
      </c>
      <c r="B8" s="167" t="s">
        <v>78</v>
      </c>
      <c r="C8" s="168"/>
      <c r="D8" s="168"/>
      <c r="E8" s="168"/>
      <c r="F8" s="168"/>
      <c r="G8" s="168"/>
      <c r="H8" s="168"/>
      <c r="I8" s="168"/>
      <c r="J8" s="168"/>
      <c r="K8" s="168"/>
      <c r="L8" s="168"/>
      <c r="M8" s="168"/>
      <c r="N8" s="168"/>
      <c r="O8" s="168"/>
      <c r="P8" s="168"/>
      <c r="Q8" s="168"/>
      <c r="R8" s="168"/>
      <c r="S8" s="168"/>
      <c r="T8" s="168"/>
      <c r="U8" s="168"/>
      <c r="V8" s="168"/>
      <c r="W8" s="168"/>
      <c r="X8" s="168"/>
      <c r="Y8" s="168"/>
      <c r="Z8" s="168"/>
      <c r="AA8" s="168"/>
      <c r="AB8" s="168"/>
      <c r="AC8" s="168"/>
      <c r="AD8" s="168"/>
      <c r="AE8" s="168"/>
      <c r="AF8" s="168"/>
      <c r="AG8" s="168"/>
      <c r="AH8" s="168"/>
      <c r="AI8" s="168"/>
      <c r="AJ8" s="168"/>
      <c r="AK8" s="168"/>
      <c r="AL8" s="168"/>
      <c r="AM8" s="168"/>
      <c r="AN8" s="168"/>
      <c r="AO8" s="168"/>
      <c r="AP8" s="168"/>
      <c r="AQ8" s="169"/>
      <c r="AR8" s="165"/>
    </row>
    <row r="9" spans="1:89" s="54" customFormat="1" ht="18" customHeight="1">
      <c r="A9" s="249">
        <v>1</v>
      </c>
      <c r="B9" s="249" t="s">
        <v>74</v>
      </c>
      <c r="C9" s="251" t="str">
        <f>VLOOKUP(B9,DS,2,0)</f>
        <v>Nguyễn Thị Kim Quyên</v>
      </c>
      <c r="D9" s="253" t="str">
        <f>VLOOKUP(B9,DS,3,0)</f>
        <v>Văn Phòng</v>
      </c>
      <c r="E9" s="55" t="s">
        <v>30</v>
      </c>
      <c r="F9" s="130">
        <v>8</v>
      </c>
      <c r="G9" s="130">
        <v>8</v>
      </c>
      <c r="H9" s="130">
        <v>8</v>
      </c>
      <c r="I9" s="130">
        <v>8</v>
      </c>
      <c r="J9" s="130"/>
      <c r="K9" s="130">
        <v>8</v>
      </c>
      <c r="L9" s="130">
        <v>8</v>
      </c>
      <c r="M9" s="130">
        <v>8</v>
      </c>
      <c r="N9" s="130">
        <v>8</v>
      </c>
      <c r="O9" s="130">
        <v>8</v>
      </c>
      <c r="P9" s="130">
        <v>8</v>
      </c>
      <c r="Q9" s="130"/>
      <c r="R9" s="130">
        <v>8</v>
      </c>
      <c r="S9" s="130">
        <v>8</v>
      </c>
      <c r="T9" s="130">
        <v>8</v>
      </c>
      <c r="U9" s="130">
        <v>8</v>
      </c>
      <c r="V9" s="130">
        <v>8</v>
      </c>
      <c r="W9" s="130">
        <v>8</v>
      </c>
      <c r="X9" s="130"/>
      <c r="Y9" s="130">
        <v>8</v>
      </c>
      <c r="Z9" s="130">
        <v>8</v>
      </c>
      <c r="AA9" s="130">
        <v>8</v>
      </c>
      <c r="AB9" s="130">
        <v>8</v>
      </c>
      <c r="AC9" s="130">
        <v>8</v>
      </c>
      <c r="AD9" s="130">
        <v>8</v>
      </c>
      <c r="AE9" s="130"/>
      <c r="AF9" s="130">
        <v>8</v>
      </c>
      <c r="AG9" s="130">
        <v>8</v>
      </c>
      <c r="AH9" s="130"/>
      <c r="AI9" s="245">
        <f>((SUM(F9:AG9))/8)-(SUMIF($F$6:$AG$6,"C.Nhật",F9:AG9)/8)</f>
        <v>24</v>
      </c>
      <c r="AJ9" s="245">
        <f>SUM(F10:AG10)/8*1.5</f>
        <v>0</v>
      </c>
      <c r="AK9" s="247">
        <f>SUMIF($F$6:$AG$6,"C.Nhật",$F9:$AG10)/8*2</f>
        <v>0</v>
      </c>
      <c r="AL9" s="241">
        <f>SUM(AI9:AK10)</f>
        <v>24</v>
      </c>
      <c r="AM9" s="243">
        <v>0</v>
      </c>
      <c r="AN9" s="241"/>
      <c r="AO9" s="241"/>
      <c r="AP9" s="241"/>
      <c r="AQ9" s="239"/>
      <c r="AR9" s="205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</row>
    <row r="10" spans="1:89" s="54" customFormat="1" ht="18" customHeight="1">
      <c r="A10" s="250"/>
      <c r="B10" s="250"/>
      <c r="C10" s="252"/>
      <c r="D10" s="254"/>
      <c r="E10" s="56" t="s">
        <v>29</v>
      </c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246"/>
      <c r="AJ10" s="246"/>
      <c r="AK10" s="248"/>
      <c r="AL10" s="242"/>
      <c r="AM10" s="244"/>
      <c r="AN10" s="242"/>
      <c r="AO10" s="242"/>
      <c r="AP10" s="242"/>
      <c r="AQ10" s="240"/>
      <c r="AR10" s="205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</row>
    <row r="11" spans="1:89" s="54" customFormat="1" ht="18" customHeight="1">
      <c r="A11" s="249">
        <v>2</v>
      </c>
      <c r="B11" s="249" t="s">
        <v>114</v>
      </c>
      <c r="C11" s="251" t="str">
        <f>VLOOKUP(B11,DS,2,0)</f>
        <v>Đinh Hoàng Lợi</v>
      </c>
      <c r="D11" s="253" t="str">
        <f>VLOOKUP(B11,DS,3,0)</f>
        <v>Tài xế</v>
      </c>
      <c r="E11" s="55" t="s">
        <v>30</v>
      </c>
      <c r="F11" s="130">
        <v>8</v>
      </c>
      <c r="G11" s="130">
        <v>8</v>
      </c>
      <c r="H11" s="130">
        <v>8</v>
      </c>
      <c r="I11" s="130">
        <v>8</v>
      </c>
      <c r="J11" s="130"/>
      <c r="K11" s="130">
        <v>8</v>
      </c>
      <c r="L11" s="130">
        <v>8</v>
      </c>
      <c r="M11" s="130">
        <v>8</v>
      </c>
      <c r="N11" s="130">
        <v>8</v>
      </c>
      <c r="O11" s="130">
        <v>8</v>
      </c>
      <c r="P11" s="130">
        <v>8</v>
      </c>
      <c r="Q11" s="130"/>
      <c r="R11" s="130">
        <v>8</v>
      </c>
      <c r="S11" s="130">
        <v>8</v>
      </c>
      <c r="T11" s="130">
        <v>8</v>
      </c>
      <c r="U11" s="130">
        <v>8</v>
      </c>
      <c r="V11" s="130">
        <v>8</v>
      </c>
      <c r="W11" s="130">
        <v>8</v>
      </c>
      <c r="X11" s="130"/>
      <c r="Y11" s="130">
        <v>8</v>
      </c>
      <c r="Z11" s="130">
        <v>8</v>
      </c>
      <c r="AA11" s="130">
        <v>8</v>
      </c>
      <c r="AB11" s="130">
        <v>8</v>
      </c>
      <c r="AC11" s="130">
        <v>8</v>
      </c>
      <c r="AD11" s="130">
        <v>8</v>
      </c>
      <c r="AE11" s="130"/>
      <c r="AF11" s="130">
        <v>8</v>
      </c>
      <c r="AG11" s="130">
        <v>8</v>
      </c>
      <c r="AH11" s="130"/>
      <c r="AI11" s="245">
        <f>((SUM(F11:AG11))/8)-(SUMIF($F$6:$AG$6,"C.Nhật",F11:AG11)/8)</f>
        <v>24</v>
      </c>
      <c r="AJ11" s="245">
        <f>SUM(F12:AG12)/8*1.5</f>
        <v>0</v>
      </c>
      <c r="AK11" s="247">
        <f>SUMIF($F$6:$AG$6,"C.Nhật",$F11:$AG12)/8*2</f>
        <v>0</v>
      </c>
      <c r="AL11" s="241">
        <f>SUM(AI11:AK12)</f>
        <v>24</v>
      </c>
      <c r="AM11" s="243">
        <v>0</v>
      </c>
      <c r="AN11" s="241"/>
      <c r="AO11" s="241"/>
      <c r="AP11" s="241"/>
      <c r="AQ11" s="239"/>
      <c r="AR11" s="224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</row>
    <row r="12" spans="1:89" s="54" customFormat="1" ht="18" customHeight="1">
      <c r="A12" s="250"/>
      <c r="B12" s="250"/>
      <c r="C12" s="252"/>
      <c r="D12" s="254"/>
      <c r="E12" s="56" t="s">
        <v>29</v>
      </c>
      <c r="F12" s="131"/>
      <c r="G12" s="131"/>
      <c r="H12" s="131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1"/>
      <c r="Y12" s="131"/>
      <c r="Z12" s="131"/>
      <c r="AA12" s="131"/>
      <c r="AB12" s="131"/>
      <c r="AC12" s="131"/>
      <c r="AD12" s="131"/>
      <c r="AE12" s="131"/>
      <c r="AF12" s="131"/>
      <c r="AG12" s="131"/>
      <c r="AH12" s="131"/>
      <c r="AI12" s="246"/>
      <c r="AJ12" s="246"/>
      <c r="AK12" s="248"/>
      <c r="AL12" s="242"/>
      <c r="AM12" s="244"/>
      <c r="AN12" s="242"/>
      <c r="AO12" s="242"/>
      <c r="AP12" s="242"/>
      <c r="AQ12" s="240"/>
      <c r="AR12" s="224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</row>
    <row r="13" spans="1:89" s="166" customFormat="1" ht="21" customHeight="1">
      <c r="A13" s="164" t="s">
        <v>69</v>
      </c>
      <c r="B13" s="167" t="s">
        <v>73</v>
      </c>
      <c r="C13" s="168"/>
      <c r="D13" s="168"/>
      <c r="E13" s="168"/>
      <c r="F13" s="168"/>
      <c r="G13" s="168"/>
      <c r="H13" s="168"/>
      <c r="I13" s="168"/>
      <c r="J13" s="168"/>
      <c r="K13" s="168"/>
      <c r="L13" s="168"/>
      <c r="M13" s="168"/>
      <c r="N13" s="168"/>
      <c r="O13" s="168"/>
      <c r="P13" s="168"/>
      <c r="Q13" s="168"/>
      <c r="R13" s="168"/>
      <c r="S13" s="168"/>
      <c r="T13" s="168"/>
      <c r="U13" s="168"/>
      <c r="V13" s="168"/>
      <c r="W13" s="168"/>
      <c r="X13" s="168"/>
      <c r="Y13" s="168"/>
      <c r="Z13" s="168"/>
      <c r="AA13" s="168"/>
      <c r="AB13" s="168"/>
      <c r="AC13" s="168"/>
      <c r="AD13" s="168"/>
      <c r="AE13" s="168"/>
      <c r="AF13" s="168"/>
      <c r="AG13" s="168"/>
      <c r="AH13" s="168"/>
      <c r="AI13" s="168"/>
      <c r="AJ13" s="168"/>
      <c r="AK13" s="168"/>
      <c r="AL13" s="168"/>
      <c r="AM13" s="168"/>
      <c r="AN13" s="168"/>
      <c r="AO13" s="168"/>
      <c r="AP13" s="168"/>
      <c r="AQ13" s="169"/>
      <c r="AR13" s="165"/>
    </row>
    <row r="14" spans="1:89" s="54" customFormat="1" ht="18" customHeight="1">
      <c r="A14" s="249">
        <v>1</v>
      </c>
      <c r="B14" s="249" t="s">
        <v>75</v>
      </c>
      <c r="C14" s="251" t="str">
        <f>VLOOKUP(B14,DS,2,0)</f>
        <v>Lê Văn Hữu</v>
      </c>
      <c r="D14" s="253" t="str">
        <f>VLOOKUP(B14,DS,3,0)</f>
        <v>Công Đoạn 1</v>
      </c>
      <c r="E14" s="55" t="s">
        <v>30</v>
      </c>
      <c r="F14" s="130">
        <v>8</v>
      </c>
      <c r="G14" s="130">
        <v>8</v>
      </c>
      <c r="H14" s="130">
        <v>8</v>
      </c>
      <c r="I14" s="130">
        <v>8</v>
      </c>
      <c r="J14" s="130"/>
      <c r="K14" s="130">
        <v>8</v>
      </c>
      <c r="L14" s="130">
        <v>8</v>
      </c>
      <c r="M14" s="130">
        <v>8</v>
      </c>
      <c r="N14" s="130">
        <v>8</v>
      </c>
      <c r="O14" s="130">
        <v>8</v>
      </c>
      <c r="P14" s="130">
        <v>8</v>
      </c>
      <c r="Q14" s="130"/>
      <c r="R14" s="130">
        <v>8</v>
      </c>
      <c r="S14" s="130">
        <v>8</v>
      </c>
      <c r="T14" s="130">
        <v>8</v>
      </c>
      <c r="U14" s="130">
        <v>8</v>
      </c>
      <c r="V14" s="130">
        <v>8</v>
      </c>
      <c r="W14" s="130">
        <v>8</v>
      </c>
      <c r="X14" s="130"/>
      <c r="Y14" s="130">
        <v>8</v>
      </c>
      <c r="Z14" s="130">
        <v>8</v>
      </c>
      <c r="AA14" s="130">
        <v>8</v>
      </c>
      <c r="AB14" s="130">
        <v>8</v>
      </c>
      <c r="AC14" s="130">
        <v>8</v>
      </c>
      <c r="AD14" s="130">
        <v>8</v>
      </c>
      <c r="AE14" s="130"/>
      <c r="AF14" s="130">
        <v>8</v>
      </c>
      <c r="AG14" s="130">
        <v>8</v>
      </c>
      <c r="AH14" s="130"/>
      <c r="AI14" s="245">
        <f>((SUM(F14:AG14))/8)-(SUMIF($F$6:$AG$6,"C.Nhật",F14:AG14)/8)</f>
        <v>24</v>
      </c>
      <c r="AJ14" s="245">
        <f>SUM(F15:AG15)/8*1.5</f>
        <v>0</v>
      </c>
      <c r="AK14" s="247">
        <f>SUMIF($F$6:$AG$6,"C.Nhật",$F14:$AG15)/8*2</f>
        <v>0</v>
      </c>
      <c r="AL14" s="241">
        <f>SUM(AI14:AK15)</f>
        <v>24</v>
      </c>
      <c r="AM14" s="243">
        <v>0</v>
      </c>
      <c r="AN14" s="241"/>
      <c r="AO14" s="241"/>
      <c r="AP14" s="241"/>
      <c r="AQ14" s="239"/>
      <c r="AR14" s="205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</row>
    <row r="15" spans="1:89" s="54" customFormat="1" ht="18" customHeight="1">
      <c r="A15" s="250"/>
      <c r="B15" s="250"/>
      <c r="C15" s="252"/>
      <c r="D15" s="254"/>
      <c r="E15" s="56" t="s">
        <v>29</v>
      </c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246"/>
      <c r="AJ15" s="246"/>
      <c r="AK15" s="248"/>
      <c r="AL15" s="242"/>
      <c r="AM15" s="244"/>
      <c r="AN15" s="242"/>
      <c r="AO15" s="242"/>
      <c r="AP15" s="242"/>
      <c r="AQ15" s="240"/>
      <c r="AR15" s="205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</row>
    <row r="16" spans="1:89" s="54" customFormat="1" ht="18" customHeight="1">
      <c r="A16" s="249">
        <v>2</v>
      </c>
      <c r="B16" s="249" t="s">
        <v>76</v>
      </c>
      <c r="C16" s="251" t="str">
        <f>VLOOKUP(B16,DS,2,0)</f>
        <v>Lý Thanh Hải</v>
      </c>
      <c r="D16" s="253" t="str">
        <f>VLOOKUP(B16,DS,3,0)</f>
        <v>Công Đoạn 1</v>
      </c>
      <c r="E16" s="55" t="s">
        <v>30</v>
      </c>
      <c r="F16" s="130">
        <v>8</v>
      </c>
      <c r="G16" s="130">
        <v>8</v>
      </c>
      <c r="H16" s="130">
        <v>8</v>
      </c>
      <c r="I16" s="130">
        <v>8</v>
      </c>
      <c r="J16" s="130"/>
      <c r="K16" s="130">
        <v>8</v>
      </c>
      <c r="L16" s="130">
        <v>8</v>
      </c>
      <c r="M16" s="130">
        <v>8</v>
      </c>
      <c r="N16" s="130">
        <v>8</v>
      </c>
      <c r="O16" s="130">
        <v>8</v>
      </c>
      <c r="P16" s="130">
        <v>8</v>
      </c>
      <c r="Q16" s="130"/>
      <c r="R16" s="130">
        <v>8</v>
      </c>
      <c r="S16" s="130">
        <v>8</v>
      </c>
      <c r="T16" s="130">
        <v>8</v>
      </c>
      <c r="U16" s="130">
        <v>8</v>
      </c>
      <c r="V16" s="130">
        <v>8</v>
      </c>
      <c r="W16" s="130">
        <v>8</v>
      </c>
      <c r="X16" s="130"/>
      <c r="Y16" s="130">
        <v>8</v>
      </c>
      <c r="Z16" s="130">
        <v>8</v>
      </c>
      <c r="AA16" s="130">
        <v>8</v>
      </c>
      <c r="AB16" s="130">
        <v>8</v>
      </c>
      <c r="AC16" s="130">
        <v>8</v>
      </c>
      <c r="AD16" s="130">
        <v>8</v>
      </c>
      <c r="AE16" s="130"/>
      <c r="AF16" s="130">
        <v>8</v>
      </c>
      <c r="AG16" s="130">
        <v>8</v>
      </c>
      <c r="AH16" s="130"/>
      <c r="AI16" s="245">
        <f>((SUM(F16:AG16))/8)-(SUMIF($F$6:$AG$6,"C.Nhật",F16:AG16)/8)</f>
        <v>24</v>
      </c>
      <c r="AJ16" s="245">
        <f>SUM(F17:AG17)/8*1.5</f>
        <v>0</v>
      </c>
      <c r="AK16" s="247">
        <f>SUMIF($F$6:$AG$6,"C.Nhật",$F16:$AG17)/8*2</f>
        <v>0</v>
      </c>
      <c r="AL16" s="241">
        <f t="shared" ref="AL16" si="3">SUM(AI16:AK17)</f>
        <v>24</v>
      </c>
      <c r="AM16" s="243">
        <v>0</v>
      </c>
      <c r="AN16" s="241"/>
      <c r="AO16" s="241"/>
      <c r="AP16" s="241"/>
      <c r="AQ16" s="239"/>
      <c r="AR16" s="21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</row>
    <row r="17" spans="1:91" s="54" customFormat="1" ht="18" customHeight="1">
      <c r="A17" s="250"/>
      <c r="B17" s="250"/>
      <c r="C17" s="252"/>
      <c r="D17" s="254"/>
      <c r="E17" s="56" t="s">
        <v>29</v>
      </c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246"/>
      <c r="AJ17" s="246"/>
      <c r="AK17" s="248"/>
      <c r="AL17" s="242"/>
      <c r="AM17" s="244"/>
      <c r="AN17" s="242"/>
      <c r="AO17" s="242"/>
      <c r="AP17" s="242"/>
      <c r="AQ17" s="240"/>
      <c r="AR17" s="21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</row>
    <row r="18" spans="1:91" s="54" customFormat="1" ht="18" customHeight="1">
      <c r="A18" s="249">
        <v>3</v>
      </c>
      <c r="B18" s="249" t="s">
        <v>77</v>
      </c>
      <c r="C18" s="251" t="str">
        <f>VLOOKUP(B18,DS,2,0)</f>
        <v>Cao Minh Chí</v>
      </c>
      <c r="D18" s="253" t="str">
        <f>VLOOKUP(B18,DS,3,0)</f>
        <v>Công Đoạn 2</v>
      </c>
      <c r="E18" s="55" t="s">
        <v>30</v>
      </c>
      <c r="F18" s="130">
        <v>8</v>
      </c>
      <c r="G18" s="130">
        <v>8</v>
      </c>
      <c r="H18" s="130">
        <v>8</v>
      </c>
      <c r="I18" s="130">
        <v>8</v>
      </c>
      <c r="J18" s="130"/>
      <c r="K18" s="130">
        <v>8</v>
      </c>
      <c r="L18" s="130">
        <v>8</v>
      </c>
      <c r="M18" s="130">
        <v>8</v>
      </c>
      <c r="N18" s="130">
        <v>8</v>
      </c>
      <c r="O18" s="130">
        <v>8</v>
      </c>
      <c r="P18" s="130">
        <v>8</v>
      </c>
      <c r="Q18" s="130"/>
      <c r="R18" s="130">
        <v>8</v>
      </c>
      <c r="S18" s="130">
        <v>8</v>
      </c>
      <c r="T18" s="130">
        <v>8</v>
      </c>
      <c r="U18" s="130">
        <v>8</v>
      </c>
      <c r="V18" s="130">
        <v>8</v>
      </c>
      <c r="W18" s="130">
        <v>8</v>
      </c>
      <c r="X18" s="130"/>
      <c r="Y18" s="130">
        <v>8</v>
      </c>
      <c r="Z18" s="130">
        <v>8</v>
      </c>
      <c r="AA18" s="130">
        <v>8</v>
      </c>
      <c r="AB18" s="130">
        <v>8</v>
      </c>
      <c r="AC18" s="130">
        <v>8</v>
      </c>
      <c r="AD18" s="130">
        <v>8</v>
      </c>
      <c r="AE18" s="130"/>
      <c r="AF18" s="130">
        <v>8</v>
      </c>
      <c r="AG18" s="130">
        <v>8</v>
      </c>
      <c r="AH18" s="130"/>
      <c r="AI18" s="245">
        <f>((SUM(F18:AG18))/8)-(SUMIF($F$6:$AG$6,"C.Nhật",F18:AG18)/8)</f>
        <v>24</v>
      </c>
      <c r="AJ18" s="245">
        <f>SUM(F19:AG19)/8*1.5</f>
        <v>0</v>
      </c>
      <c r="AK18" s="247">
        <f>SUMIF($F$6:$AG$6,"C.Nhật",$F18:$AG19)/8*2</f>
        <v>0</v>
      </c>
      <c r="AL18" s="241">
        <f t="shared" ref="AL18" si="4">SUM(AI18:AK19)</f>
        <v>24</v>
      </c>
      <c r="AM18" s="243">
        <v>0</v>
      </c>
      <c r="AN18" s="241"/>
      <c r="AO18" s="241"/>
      <c r="AP18" s="241"/>
      <c r="AQ18" s="239"/>
      <c r="AR18" s="21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</row>
    <row r="19" spans="1:91" s="54" customFormat="1" ht="18" customHeight="1">
      <c r="A19" s="250"/>
      <c r="B19" s="250"/>
      <c r="C19" s="252"/>
      <c r="D19" s="254"/>
      <c r="E19" s="56" t="s">
        <v>29</v>
      </c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131"/>
      <c r="W19" s="131"/>
      <c r="X19" s="131"/>
      <c r="Y19" s="131"/>
      <c r="Z19" s="131"/>
      <c r="AA19" s="131"/>
      <c r="AB19" s="131"/>
      <c r="AC19" s="131"/>
      <c r="AD19" s="131"/>
      <c r="AE19" s="131"/>
      <c r="AF19" s="131"/>
      <c r="AG19" s="131"/>
      <c r="AH19" s="131"/>
      <c r="AI19" s="246"/>
      <c r="AJ19" s="246"/>
      <c r="AK19" s="248"/>
      <c r="AL19" s="242"/>
      <c r="AM19" s="244"/>
      <c r="AN19" s="242"/>
      <c r="AO19" s="242"/>
      <c r="AP19" s="242"/>
      <c r="AQ19" s="240"/>
      <c r="AR19" s="21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</row>
    <row r="20" spans="1:91" s="57" customFormat="1" ht="12.75">
      <c r="A20" s="14"/>
      <c r="B20" s="58"/>
      <c r="C20" s="4"/>
      <c r="D20" s="100"/>
      <c r="E20" s="4"/>
      <c r="F20" s="62"/>
      <c r="G20" s="62"/>
      <c r="H20" s="59"/>
      <c r="I20" s="59"/>
      <c r="J20" s="107"/>
      <c r="K20" s="62"/>
      <c r="L20" s="59"/>
      <c r="M20" s="62"/>
      <c r="N20" s="62"/>
      <c r="O20" s="62"/>
      <c r="P20" s="62"/>
      <c r="Q20" s="59"/>
      <c r="R20" s="62"/>
      <c r="S20" s="62"/>
      <c r="T20" s="107"/>
      <c r="U20" s="62"/>
      <c r="V20" s="62"/>
      <c r="W20" s="62"/>
      <c r="X20" s="58"/>
      <c r="Y20" s="62"/>
      <c r="Z20" s="62"/>
      <c r="AA20" s="62"/>
      <c r="AB20" s="62"/>
      <c r="AC20" s="62"/>
      <c r="AD20" s="59"/>
      <c r="AE20" s="62"/>
      <c r="AF20" s="62"/>
      <c r="AG20" s="62"/>
      <c r="AH20" s="62"/>
      <c r="AI20" s="4"/>
      <c r="AJ20" s="4"/>
      <c r="AK20" s="85"/>
      <c r="AL20" s="61"/>
      <c r="AM20" s="61"/>
      <c r="AN20" s="61"/>
      <c r="AO20" s="61"/>
      <c r="AP20" s="61"/>
      <c r="AQ20" s="4"/>
      <c r="AR20" s="91"/>
    </row>
    <row r="21" spans="1:91" s="57" customFormat="1" ht="12.75">
      <c r="A21" s="14"/>
      <c r="B21" s="58"/>
      <c r="C21" s="14" t="s">
        <v>14</v>
      </c>
      <c r="D21" s="100"/>
      <c r="E21" s="4"/>
      <c r="F21" s="62"/>
      <c r="G21" s="62"/>
      <c r="H21" s="59"/>
      <c r="I21" s="59"/>
      <c r="J21" s="107"/>
      <c r="K21" s="62"/>
      <c r="L21" s="59"/>
      <c r="M21" s="62"/>
      <c r="N21" s="62"/>
      <c r="O21" s="62"/>
      <c r="P21" s="62"/>
      <c r="Q21" s="59"/>
      <c r="R21" s="62"/>
      <c r="S21" s="62"/>
      <c r="T21" s="107"/>
      <c r="U21" s="62"/>
      <c r="V21" s="62"/>
      <c r="W21" s="62"/>
      <c r="X21" s="58"/>
      <c r="Y21" s="62"/>
      <c r="Z21" s="62"/>
      <c r="AA21" s="62"/>
      <c r="AB21" s="62"/>
      <c r="AC21" s="62"/>
      <c r="AD21" s="59"/>
      <c r="AE21" s="62"/>
      <c r="AF21" s="62"/>
      <c r="AG21" s="62"/>
      <c r="AH21" s="62"/>
      <c r="AI21" s="4"/>
      <c r="AJ21" s="4"/>
      <c r="AK21" s="85"/>
      <c r="AL21" s="61"/>
      <c r="AM21" s="61"/>
      <c r="AN21" s="61"/>
      <c r="AO21" s="61"/>
      <c r="AP21" s="61"/>
      <c r="AQ21" s="4"/>
      <c r="AR21" s="91"/>
    </row>
    <row r="22" spans="1:91" s="57" customFormat="1" ht="12.75">
      <c r="A22" s="12"/>
      <c r="B22" s="12"/>
      <c r="C22" s="4"/>
      <c r="D22" s="100"/>
      <c r="E22" s="4"/>
      <c r="F22" s="62"/>
      <c r="G22" s="62"/>
      <c r="H22" s="108"/>
      <c r="I22" s="108"/>
      <c r="J22" s="108"/>
      <c r="K22" s="62"/>
      <c r="L22" s="108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108"/>
      <c r="AE22" s="62"/>
      <c r="AF22" s="62"/>
      <c r="AG22" s="62"/>
      <c r="AH22" s="62"/>
      <c r="AI22" s="4"/>
      <c r="AJ22" s="4"/>
      <c r="AK22" s="85"/>
      <c r="AL22" s="63"/>
      <c r="AM22" s="63"/>
      <c r="AN22" s="63"/>
      <c r="AO22" s="63"/>
      <c r="AP22" s="63"/>
      <c r="AQ22" s="4"/>
      <c r="AR22" s="91"/>
    </row>
    <row r="23" spans="1:91" s="60" customFormat="1" ht="15" customHeight="1">
      <c r="A23" s="12"/>
      <c r="B23" s="12"/>
      <c r="C23" s="4"/>
      <c r="D23" s="100"/>
      <c r="E23" s="4"/>
      <c r="F23" s="62"/>
      <c r="G23" s="62"/>
      <c r="H23" s="108"/>
      <c r="I23" s="108"/>
      <c r="J23" s="108"/>
      <c r="K23" s="62"/>
      <c r="L23" s="108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108"/>
      <c r="AE23" s="62"/>
      <c r="AF23" s="62"/>
      <c r="AG23" s="62"/>
      <c r="AH23" s="62"/>
      <c r="AI23" s="4"/>
      <c r="AJ23" s="4"/>
      <c r="AK23" s="85"/>
      <c r="AL23" s="63"/>
      <c r="AM23" s="63"/>
      <c r="AN23" s="63"/>
      <c r="AO23" s="63"/>
      <c r="AP23" s="63"/>
      <c r="AQ23" s="4"/>
      <c r="AR23" s="4"/>
    </row>
    <row r="24" spans="1:91" s="60" customFormat="1" ht="11.25">
      <c r="A24" s="12"/>
      <c r="B24" s="12"/>
      <c r="C24" s="4"/>
      <c r="D24" s="100"/>
      <c r="E24" s="4"/>
      <c r="F24" s="62"/>
      <c r="G24" s="62"/>
      <c r="H24" s="108"/>
      <c r="I24" s="108"/>
      <c r="J24" s="108"/>
      <c r="K24" s="62"/>
      <c r="L24" s="108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108"/>
      <c r="AE24" s="62"/>
      <c r="AF24" s="62"/>
      <c r="AG24" s="62"/>
      <c r="AH24" s="62"/>
      <c r="AI24" s="4"/>
      <c r="AJ24" s="4"/>
      <c r="AK24" s="85"/>
      <c r="AL24" s="63"/>
      <c r="AM24" s="63"/>
      <c r="AN24" s="63"/>
      <c r="AO24" s="63"/>
      <c r="AP24" s="63"/>
      <c r="AQ24" s="4"/>
      <c r="AR24" s="4"/>
    </row>
    <row r="25" spans="1:91" s="60" customFormat="1" ht="11.25">
      <c r="A25" s="12"/>
      <c r="B25" s="12"/>
      <c r="C25" s="4"/>
      <c r="D25" s="100"/>
      <c r="E25" s="4"/>
      <c r="F25" s="62"/>
      <c r="G25" s="62"/>
      <c r="H25" s="108"/>
      <c r="I25" s="108"/>
      <c r="J25" s="108"/>
      <c r="K25" s="62"/>
      <c r="L25" s="108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108"/>
      <c r="AE25" s="62"/>
      <c r="AF25" s="62"/>
      <c r="AG25" s="62"/>
      <c r="AH25" s="62"/>
      <c r="AI25" s="4"/>
      <c r="AJ25" s="4"/>
      <c r="AK25" s="85"/>
      <c r="AL25" s="63"/>
      <c r="AM25" s="63"/>
      <c r="AN25" s="63"/>
      <c r="AO25" s="63"/>
      <c r="AP25" s="63"/>
      <c r="AQ25" s="4"/>
      <c r="AR25" s="4"/>
    </row>
    <row r="26" spans="1:91" s="60" customFormat="1" ht="11.25">
      <c r="A26" s="10"/>
      <c r="B26" s="10"/>
      <c r="C26" s="14"/>
      <c r="D26" s="101"/>
      <c r="E26" s="64"/>
      <c r="F26" s="107"/>
      <c r="G26" s="109"/>
      <c r="H26" s="59"/>
      <c r="I26" s="59"/>
      <c r="J26" s="59"/>
      <c r="K26" s="109"/>
      <c r="L26" s="59"/>
      <c r="M26" s="109"/>
      <c r="N26" s="109"/>
      <c r="O26" s="109"/>
      <c r="P26" s="109"/>
      <c r="Q26" s="59"/>
      <c r="R26" s="107"/>
      <c r="S26" s="109"/>
      <c r="T26" s="109"/>
      <c r="U26" s="59"/>
      <c r="V26" s="109"/>
      <c r="W26" s="109"/>
      <c r="X26" s="59"/>
      <c r="Y26" s="109"/>
      <c r="Z26" s="109"/>
      <c r="AA26" s="109"/>
      <c r="AB26" s="109"/>
      <c r="AC26" s="109"/>
      <c r="AD26" s="59"/>
      <c r="AE26" s="109"/>
      <c r="AF26" s="109"/>
      <c r="AG26" s="109"/>
      <c r="AH26" s="109"/>
      <c r="AI26" s="64"/>
      <c r="AK26" s="86"/>
      <c r="AL26" s="10"/>
      <c r="AM26" s="10"/>
      <c r="AN26" s="10"/>
      <c r="AO26" s="10"/>
      <c r="AP26" s="10"/>
      <c r="AQ26" s="14"/>
      <c r="AR26" s="4"/>
    </row>
    <row r="27" spans="1:91" s="60" customFormat="1" ht="12.75">
      <c r="A27" s="2"/>
      <c r="B27" s="2" t="s">
        <v>0</v>
      </c>
      <c r="C27" s="2"/>
      <c r="D27" s="203"/>
      <c r="E27" s="2"/>
      <c r="F27" s="110"/>
      <c r="G27" s="110"/>
      <c r="H27" s="110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  <c r="AA27" s="110"/>
      <c r="AB27" s="110"/>
      <c r="AC27" s="110"/>
      <c r="AD27" s="110"/>
      <c r="AE27" s="110"/>
      <c r="AF27" s="110"/>
      <c r="AG27" s="110"/>
      <c r="AH27" s="110"/>
      <c r="AI27" s="2"/>
      <c r="AJ27" s="2"/>
      <c r="AK27" s="87"/>
      <c r="AL27" s="2"/>
      <c r="AM27" s="2"/>
      <c r="AN27" s="2"/>
      <c r="AO27" s="2"/>
      <c r="AP27" s="2"/>
      <c r="AQ27" s="2"/>
      <c r="AR27" s="4"/>
    </row>
    <row r="28" spans="1:91" s="60" customFormat="1" ht="12.75">
      <c r="A28" s="2"/>
      <c r="B28" s="2"/>
      <c r="C28" s="2" t="s">
        <v>40</v>
      </c>
      <c r="D28" s="203"/>
      <c r="E28" s="2"/>
      <c r="F28" s="110"/>
      <c r="G28" s="110"/>
      <c r="H28" s="110"/>
      <c r="I28" s="110"/>
      <c r="J28" s="110"/>
      <c r="K28" s="110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0"/>
      <c r="W28" s="110"/>
      <c r="X28" s="110"/>
      <c r="Y28" s="110"/>
      <c r="Z28" s="110"/>
      <c r="AA28" s="110"/>
      <c r="AB28" s="110"/>
      <c r="AC28" s="110"/>
      <c r="AD28" s="110"/>
      <c r="AE28" s="110"/>
      <c r="AF28" s="110"/>
      <c r="AG28" s="110"/>
      <c r="AH28" s="110"/>
      <c r="AI28" s="2"/>
      <c r="AJ28" s="2"/>
      <c r="AK28" s="87"/>
      <c r="AL28" s="2"/>
      <c r="AM28" s="2"/>
      <c r="AN28" s="2"/>
      <c r="AO28" s="2"/>
      <c r="AP28" s="2"/>
      <c r="AQ28" s="2"/>
      <c r="AR28" s="14"/>
    </row>
    <row r="29" spans="1:91" ht="15" customHeight="1">
      <c r="C29" s="2" t="s">
        <v>41</v>
      </c>
    </row>
    <row r="30" spans="1:91" ht="15" customHeight="1">
      <c r="C30" s="2" t="s">
        <v>42</v>
      </c>
    </row>
    <row r="31" spans="1:91" s="203" customFormat="1" ht="15" customHeight="1">
      <c r="A31" s="2"/>
      <c r="B31" s="2"/>
      <c r="C31" s="2" t="s">
        <v>43</v>
      </c>
      <c r="E31" s="2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  <c r="AE31" s="110"/>
      <c r="AF31" s="110"/>
      <c r="AG31" s="110"/>
      <c r="AH31" s="110"/>
      <c r="AI31" s="2"/>
      <c r="AJ31" s="2"/>
      <c r="AK31" s="87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03" customFormat="1" ht="15" customHeight="1">
      <c r="A32" s="2"/>
      <c r="B32" s="2"/>
      <c r="C32" s="2" t="s">
        <v>44</v>
      </c>
      <c r="E32" s="2"/>
      <c r="F32" s="110"/>
      <c r="G32" s="110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0"/>
      <c r="AG32" s="110"/>
      <c r="AH32" s="110"/>
      <c r="AI32" s="2"/>
      <c r="AJ32" s="2"/>
      <c r="AK32" s="87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203" customFormat="1" ht="15" customHeight="1">
      <c r="A33" s="2"/>
      <c r="B33" s="2"/>
      <c r="C33" s="2" t="s">
        <v>45</v>
      </c>
      <c r="E33" s="2"/>
      <c r="F33" s="110"/>
      <c r="G33" s="110"/>
      <c r="H33" s="110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  <c r="AA33" s="110"/>
      <c r="AB33" s="110"/>
      <c r="AC33" s="110"/>
      <c r="AD33" s="110"/>
      <c r="AE33" s="110"/>
      <c r="AF33" s="110"/>
      <c r="AG33" s="110"/>
      <c r="AH33" s="110"/>
      <c r="AI33" s="2"/>
      <c r="AJ33" s="2"/>
      <c r="AK33" s="87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03" customFormat="1" ht="15" customHeight="1">
      <c r="A34" s="2"/>
      <c r="B34" s="2"/>
      <c r="C34" s="2" t="s">
        <v>46</v>
      </c>
      <c r="E34" s="2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0"/>
      <c r="AI34" s="2"/>
      <c r="AJ34" s="2"/>
      <c r="AK34" s="87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203" customFormat="1" ht="15" customHeight="1">
      <c r="A35" s="2"/>
      <c r="B35" s="2"/>
      <c r="C35" s="2" t="s">
        <v>47</v>
      </c>
      <c r="E35" s="2"/>
      <c r="F35" s="110"/>
      <c r="G35" s="110"/>
      <c r="H35" s="110"/>
      <c r="I35" s="110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  <c r="AA35" s="110"/>
      <c r="AB35" s="110"/>
      <c r="AC35" s="110"/>
      <c r="AD35" s="110"/>
      <c r="AE35" s="110"/>
      <c r="AF35" s="110"/>
      <c r="AG35" s="110"/>
      <c r="AH35" s="110"/>
      <c r="AI35" s="2"/>
      <c r="AJ35" s="2"/>
      <c r="AK35" s="87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203" customFormat="1" ht="15" customHeight="1">
      <c r="A36" s="2"/>
      <c r="B36" s="2"/>
      <c r="C36" s="2" t="s">
        <v>48</v>
      </c>
      <c r="E36" s="2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0"/>
      <c r="AI36" s="2"/>
      <c r="AJ36" s="2"/>
      <c r="AK36" s="87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22:J25 Q20:Q21" name="Range1_1_1_1"/>
    <protectedRange password="CC78" sqref="J26" name="Range1_3_1_1"/>
    <protectedRange password="CC78" sqref="A14:A19" name="Range1_1_2"/>
    <protectedRange password="CC78" sqref="C14:E19 A14:A19" name="Range1_6_2"/>
    <protectedRange password="CC78" sqref="B14:B19" name="Range1_4_2"/>
  </protectedRanges>
  <mergeCells count="79">
    <mergeCell ref="AO18:AO19"/>
    <mergeCell ref="AP18:AP19"/>
    <mergeCell ref="A16:A17"/>
    <mergeCell ref="B16:B17"/>
    <mergeCell ref="C16:C17"/>
    <mergeCell ref="D16:D17"/>
    <mergeCell ref="AJ18:AJ19"/>
    <mergeCell ref="AK18:AK19"/>
    <mergeCell ref="AL18:AL19"/>
    <mergeCell ref="AM18:AM19"/>
    <mergeCell ref="AN18:AN19"/>
    <mergeCell ref="A18:A19"/>
    <mergeCell ref="B18:B19"/>
    <mergeCell ref="C18:C19"/>
    <mergeCell ref="D18:D19"/>
    <mergeCell ref="AI18:AI19"/>
    <mergeCell ref="AK1:AQ1"/>
    <mergeCell ref="A5:A6"/>
    <mergeCell ref="B5:B6"/>
    <mergeCell ref="C5:C6"/>
    <mergeCell ref="D5:D6"/>
    <mergeCell ref="E5:E6"/>
    <mergeCell ref="AI5:AK5"/>
    <mergeCell ref="AL5:AL6"/>
    <mergeCell ref="AM5:AM6"/>
    <mergeCell ref="AN5:AN6"/>
    <mergeCell ref="AO5:AO6"/>
    <mergeCell ref="AP5:AP6"/>
    <mergeCell ref="AQ5:AQ6"/>
    <mergeCell ref="AR5:AR6"/>
    <mergeCell ref="A9:A10"/>
    <mergeCell ref="B9:B10"/>
    <mergeCell ref="C9:C10"/>
    <mergeCell ref="D9:D10"/>
    <mergeCell ref="AI9:AI10"/>
    <mergeCell ref="AJ9:AJ10"/>
    <mergeCell ref="AQ9:AQ10"/>
    <mergeCell ref="AN9:AN10"/>
    <mergeCell ref="AO9:AO10"/>
    <mergeCell ref="AP9:AP10"/>
    <mergeCell ref="AK9:AK10"/>
    <mergeCell ref="AL9:AL10"/>
    <mergeCell ref="AM9:AM10"/>
    <mergeCell ref="AM14:AM15"/>
    <mergeCell ref="AN14:AN15"/>
    <mergeCell ref="A14:A15"/>
    <mergeCell ref="B14:B15"/>
    <mergeCell ref="C14:C15"/>
    <mergeCell ref="D14:D15"/>
    <mergeCell ref="AI14:AI15"/>
    <mergeCell ref="AO14:AO15"/>
    <mergeCell ref="AP14:AP15"/>
    <mergeCell ref="AI16:AI17"/>
    <mergeCell ref="AQ14:AQ15"/>
    <mergeCell ref="AQ18:AQ19"/>
    <mergeCell ref="AJ16:AJ17"/>
    <mergeCell ref="AK16:AK17"/>
    <mergeCell ref="AL16:AL17"/>
    <mergeCell ref="AM16:AM17"/>
    <mergeCell ref="AN16:AN17"/>
    <mergeCell ref="AO16:AO17"/>
    <mergeCell ref="AP16:AP17"/>
    <mergeCell ref="AQ16:AQ17"/>
    <mergeCell ref="AJ14:AJ15"/>
    <mergeCell ref="AK14:AK15"/>
    <mergeCell ref="AL14:AL15"/>
    <mergeCell ref="A11:A12"/>
    <mergeCell ref="B11:B12"/>
    <mergeCell ref="C11:C12"/>
    <mergeCell ref="D11:D12"/>
    <mergeCell ref="AI11:AI12"/>
    <mergeCell ref="AO11:AO12"/>
    <mergeCell ref="AP11:AP12"/>
    <mergeCell ref="AQ11:AQ12"/>
    <mergeCell ref="AJ11:AJ12"/>
    <mergeCell ref="AK11:AK12"/>
    <mergeCell ref="AL11:AL12"/>
    <mergeCell ref="AM11:AM12"/>
    <mergeCell ref="AN11:AN12"/>
  </mergeCells>
  <conditionalFormatting sqref="F5:AG6 F9:AG10 F14:AG19">
    <cfRule type="expression" dxfId="76" priority="24" stopIfTrue="1">
      <formula>IF(WEEKDAY(F$5)=1,TRUE,FALSE)</formula>
    </cfRule>
  </conditionalFormatting>
  <conditionalFormatting sqref="AH5:AH6 AH9:AH10 AH14:AH19">
    <cfRule type="expression" dxfId="75" priority="3" stopIfTrue="1">
      <formula>IF(WEEKDAY(AH$5)=1,TRUE,FALSE)</formula>
    </cfRule>
  </conditionalFormatting>
  <conditionalFormatting sqref="F11:AG12">
    <cfRule type="expression" dxfId="74" priority="2" stopIfTrue="1">
      <formula>IF(WEEKDAY(F$5)=1,TRUE,FALSE)</formula>
    </cfRule>
  </conditionalFormatting>
  <conditionalFormatting sqref="AH11:AH12">
    <cfRule type="expression" dxfId="73" priority="1" stopIfTrue="1">
      <formula>IF(WEEKDAY(AH$5)=1,TRUE,FALSE)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0"/>
  <sheetViews>
    <sheetView zoomScaleNormal="70" workbookViewId="0">
      <pane xSplit="3" ySplit="8" topLeftCell="G9" activePane="bottomRight" state="frozen"/>
      <selection activeCell="X10" sqref="X10"/>
      <selection pane="topRight" activeCell="X10" sqref="X10"/>
      <selection pane="bottomLeft" activeCell="X10" sqref="X10"/>
      <selection pane="bottomRight" activeCell="A10" sqref="A10:T11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78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26"/>
      <c r="B1" s="207"/>
      <c r="C1" s="207"/>
      <c r="D1" s="273" t="str">
        <f>"BẢNG THANH TOÁN LƯƠNG THÁNG"&amp;" "&amp;TEXT($E$4,"mm")&amp;" / "&amp;TEXT($E$4,"yyyy")</f>
        <v>BẢNG THANH TOÁN LƯƠNG THÁNG 02 / 2017</v>
      </c>
      <c r="E1" s="273"/>
      <c r="F1" s="273"/>
      <c r="G1" s="273"/>
      <c r="H1" s="273"/>
      <c r="I1" s="273"/>
      <c r="J1" s="273"/>
      <c r="K1" s="273"/>
      <c r="L1" s="273"/>
      <c r="M1" s="273"/>
      <c r="N1" s="273"/>
      <c r="O1" s="273"/>
      <c r="P1" s="273"/>
      <c r="Q1" s="274"/>
      <c r="R1" s="275" t="s">
        <v>79</v>
      </c>
      <c r="S1" s="276"/>
      <c r="T1" s="277"/>
      <c r="U1" s="117" t="s">
        <v>51</v>
      </c>
      <c r="V1" s="97" t="s">
        <v>33</v>
      </c>
      <c r="W1" s="70"/>
      <c r="X1" s="70"/>
      <c r="Y1" s="5"/>
      <c r="Z1" s="5"/>
    </row>
    <row r="2" spans="1:31" s="4" customFormat="1" ht="15" customHeight="1">
      <c r="A2" s="126"/>
      <c r="B2" s="207"/>
      <c r="C2" s="207"/>
      <c r="D2" s="207"/>
      <c r="E2" s="68"/>
      <c r="F2" s="207"/>
      <c r="G2" s="207"/>
      <c r="H2" s="207"/>
      <c r="I2" s="207"/>
      <c r="J2" s="69"/>
      <c r="K2" s="207"/>
      <c r="L2" s="207"/>
      <c r="M2" s="207"/>
      <c r="N2" s="207"/>
      <c r="O2" s="207"/>
      <c r="P2" s="207"/>
      <c r="Q2" s="207"/>
      <c r="R2" s="207"/>
      <c r="S2" s="207"/>
      <c r="T2" s="46"/>
      <c r="U2" s="67">
        <f>MAX(F10:F19)</f>
        <v>24</v>
      </c>
      <c r="V2" s="98">
        <v>31</v>
      </c>
      <c r="W2" s="70"/>
      <c r="X2" s="70"/>
      <c r="Y2" s="5"/>
      <c r="Z2" s="5"/>
    </row>
    <row r="3" spans="1:31" s="4" customFormat="1" ht="15" customHeight="1">
      <c r="A3" s="126"/>
      <c r="B3" s="207"/>
      <c r="C3" s="207"/>
      <c r="D3" s="207"/>
      <c r="E3" s="68"/>
      <c r="F3" s="207"/>
      <c r="G3" s="207"/>
      <c r="H3" s="207"/>
      <c r="I3" s="207"/>
      <c r="J3" s="69"/>
      <c r="K3" s="207"/>
      <c r="L3" s="207"/>
      <c r="M3" s="207"/>
      <c r="N3" s="207"/>
      <c r="O3" s="207"/>
      <c r="P3" s="207"/>
      <c r="Q3" s="207"/>
      <c r="R3" s="207"/>
      <c r="S3" s="207"/>
      <c r="T3" s="46"/>
      <c r="U3" s="118"/>
      <c r="V3" s="119"/>
      <c r="W3" s="70"/>
      <c r="X3" s="70"/>
      <c r="Y3" s="5"/>
      <c r="Z3" s="5"/>
    </row>
    <row r="4" spans="1:31" s="92" customFormat="1" ht="14.25" customHeight="1">
      <c r="A4" s="90"/>
      <c r="B4" s="91"/>
      <c r="C4" s="91"/>
      <c r="D4" s="91"/>
      <c r="E4" s="175">
        <f>'CC -2'!$E$4</f>
        <v>42767</v>
      </c>
      <c r="F4" s="91"/>
      <c r="G4" s="91"/>
      <c r="H4" s="91"/>
      <c r="I4" s="91"/>
      <c r="J4" s="91"/>
      <c r="K4" s="91"/>
      <c r="L4" s="91"/>
      <c r="M4" s="91"/>
      <c r="N4" s="148">
        <v>0.08</v>
      </c>
      <c r="O4" s="148">
        <v>1.4999999999999999E-2</v>
      </c>
      <c r="P4" s="148">
        <v>0.01</v>
      </c>
      <c r="Q4" s="91"/>
      <c r="R4" s="91"/>
      <c r="S4" s="91"/>
      <c r="T4" s="91"/>
      <c r="U4" s="91"/>
      <c r="V4" s="93"/>
      <c r="W4" s="93"/>
      <c r="X4" s="93"/>
      <c r="Y4" s="93"/>
      <c r="Z4" s="93"/>
    </row>
    <row r="5" spans="1:31" s="21" customFormat="1" ht="24" customHeight="1">
      <c r="A5" s="278" t="s">
        <v>19</v>
      </c>
      <c r="B5" s="278" t="s">
        <v>20</v>
      </c>
      <c r="C5" s="232" t="s">
        <v>1</v>
      </c>
      <c r="D5" s="232" t="s">
        <v>2</v>
      </c>
      <c r="E5" s="235" t="s">
        <v>49</v>
      </c>
      <c r="F5" s="280" t="s">
        <v>24</v>
      </c>
      <c r="G5" s="281"/>
      <c r="H5" s="281"/>
      <c r="I5" s="281"/>
      <c r="J5" s="281"/>
      <c r="K5" s="282"/>
      <c r="L5" s="269" t="s">
        <v>50</v>
      </c>
      <c r="M5" s="269" t="s">
        <v>5</v>
      </c>
      <c r="N5" s="232" t="s">
        <v>6</v>
      </c>
      <c r="O5" s="232"/>
      <c r="P5" s="232"/>
      <c r="Q5" s="269" t="s">
        <v>7</v>
      </c>
      <c r="R5" s="269" t="s">
        <v>8</v>
      </c>
      <c r="S5" s="269" t="s">
        <v>9</v>
      </c>
      <c r="T5" s="233" t="s">
        <v>10</v>
      </c>
      <c r="U5" s="91"/>
      <c r="V5" s="22"/>
      <c r="W5" s="22"/>
      <c r="X5" s="5"/>
      <c r="Y5" s="5"/>
      <c r="Z5" s="5"/>
      <c r="AA5" s="4"/>
      <c r="AB5" s="4"/>
      <c r="AC5" s="4"/>
      <c r="AD5" s="4"/>
      <c r="AE5" s="4"/>
    </row>
    <row r="6" spans="1:31" s="21" customFormat="1" ht="33.75" customHeight="1">
      <c r="A6" s="279"/>
      <c r="B6" s="279"/>
      <c r="C6" s="232"/>
      <c r="D6" s="232"/>
      <c r="E6" s="235"/>
      <c r="F6" s="280" t="s">
        <v>52</v>
      </c>
      <c r="G6" s="282"/>
      <c r="H6" s="280" t="s">
        <v>71</v>
      </c>
      <c r="I6" s="281"/>
      <c r="J6" s="267" t="s">
        <v>25</v>
      </c>
      <c r="K6" s="269" t="s">
        <v>4</v>
      </c>
      <c r="L6" s="270"/>
      <c r="M6" s="270"/>
      <c r="N6" s="271" t="s">
        <v>12</v>
      </c>
      <c r="O6" s="269" t="s">
        <v>13</v>
      </c>
      <c r="P6" s="269" t="s">
        <v>31</v>
      </c>
      <c r="Q6" s="270"/>
      <c r="R6" s="270"/>
      <c r="S6" s="270"/>
      <c r="T6" s="234"/>
      <c r="U6" s="91"/>
      <c r="V6" s="22"/>
      <c r="W6" s="22"/>
      <c r="X6" s="5"/>
      <c r="Y6" s="5"/>
      <c r="Z6" s="5"/>
      <c r="AA6" s="4"/>
      <c r="AB6" s="4"/>
      <c r="AC6" s="4"/>
      <c r="AD6" s="4"/>
      <c r="AE6" s="4"/>
    </row>
    <row r="7" spans="1:31" s="21" customFormat="1" ht="35.25" customHeight="1">
      <c r="A7" s="279"/>
      <c r="B7" s="279"/>
      <c r="C7" s="269"/>
      <c r="D7" s="269"/>
      <c r="E7" s="235"/>
      <c r="F7" s="206" t="s">
        <v>34</v>
      </c>
      <c r="G7" s="204" t="s">
        <v>18</v>
      </c>
      <c r="H7" s="206" t="s">
        <v>34</v>
      </c>
      <c r="I7" s="115" t="s">
        <v>18</v>
      </c>
      <c r="J7" s="268"/>
      <c r="K7" s="270"/>
      <c r="L7" s="283"/>
      <c r="M7" s="283"/>
      <c r="N7" s="272"/>
      <c r="O7" s="270"/>
      <c r="P7" s="270"/>
      <c r="Q7" s="270"/>
      <c r="R7" s="270"/>
      <c r="S7" s="270"/>
      <c r="T7" s="234"/>
      <c r="U7" s="91"/>
      <c r="V7" s="22"/>
      <c r="W7" s="22"/>
      <c r="X7" s="5"/>
      <c r="Y7" s="5"/>
      <c r="Z7" s="5"/>
      <c r="AA7" s="4"/>
      <c r="AB7" s="4"/>
      <c r="AC7" s="4"/>
      <c r="AD7" s="4"/>
      <c r="AE7" s="4"/>
    </row>
    <row r="8" spans="1:31" s="72" customFormat="1" ht="12.75" customHeight="1">
      <c r="A8" s="71">
        <v>1</v>
      </c>
      <c r="B8" s="71">
        <v>1</v>
      </c>
      <c r="C8" s="71">
        <v>2</v>
      </c>
      <c r="D8" s="71">
        <v>3</v>
      </c>
      <c r="E8" s="71">
        <v>4</v>
      </c>
      <c r="F8" s="71">
        <v>5</v>
      </c>
      <c r="G8" s="71">
        <v>6</v>
      </c>
      <c r="H8" s="71">
        <v>7</v>
      </c>
      <c r="I8" s="71">
        <v>8</v>
      </c>
      <c r="J8" s="71">
        <v>9</v>
      </c>
      <c r="K8" s="71">
        <v>10</v>
      </c>
      <c r="L8" s="71">
        <v>11</v>
      </c>
      <c r="M8" s="71">
        <v>12</v>
      </c>
      <c r="N8" s="71">
        <v>13</v>
      </c>
      <c r="O8" s="71">
        <v>14</v>
      </c>
      <c r="P8" s="71">
        <v>15</v>
      </c>
      <c r="Q8" s="71">
        <v>16</v>
      </c>
      <c r="R8" s="71">
        <v>17</v>
      </c>
      <c r="S8" s="71">
        <v>18</v>
      </c>
      <c r="T8" s="71">
        <v>19</v>
      </c>
      <c r="U8" s="91"/>
      <c r="V8" s="73"/>
      <c r="W8" s="73"/>
      <c r="X8" s="74"/>
      <c r="Y8" s="74"/>
      <c r="Z8" s="74"/>
      <c r="AA8" s="75"/>
      <c r="AB8" s="75"/>
      <c r="AC8" s="75"/>
      <c r="AD8" s="75"/>
      <c r="AE8" s="75"/>
    </row>
    <row r="9" spans="1:31" s="72" customFormat="1" ht="24" customHeight="1">
      <c r="A9" s="174" t="s">
        <v>68</v>
      </c>
      <c r="B9" s="173" t="s">
        <v>80</v>
      </c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2"/>
      <c r="Q9" s="172"/>
      <c r="R9" s="172"/>
      <c r="S9" s="172"/>
      <c r="T9" s="172"/>
      <c r="U9" s="91"/>
      <c r="V9" s="73"/>
      <c r="W9" s="73"/>
      <c r="X9" s="74"/>
      <c r="Y9" s="74"/>
      <c r="Z9" s="74"/>
      <c r="AA9" s="75"/>
      <c r="AB9" s="75"/>
      <c r="AC9" s="75"/>
      <c r="AD9" s="75"/>
      <c r="AE9" s="75"/>
    </row>
    <row r="10" spans="1:31" s="29" customFormat="1" ht="24" customHeight="1">
      <c r="A10" s="31">
        <v>1</v>
      </c>
      <c r="B10" s="128" t="s">
        <v>74</v>
      </c>
      <c r="C10" s="76" t="str">
        <f t="shared" ref="C10" si="0">VLOOKUP(B10,DS,2,0)</f>
        <v>Nguyễn Thị Kim Quyên</v>
      </c>
      <c r="D10" s="103" t="str">
        <f t="shared" ref="D10" si="1">VLOOKUP(B10,DS,3,0)</f>
        <v>Văn Phòng</v>
      </c>
      <c r="E10" s="77">
        <f t="shared" ref="E10" si="2">VLOOKUP(B10,DS,4,0)</f>
        <v>4000000</v>
      </c>
      <c r="F10" s="79">
        <f>VLOOKUP(B10,'CC -2'!$B$8:$AQ$19,34,0)</f>
        <v>24</v>
      </c>
      <c r="G10" s="132">
        <f t="shared" ref="G10" si="3">ROUND(E10/$U$2*F10,0)</f>
        <v>4000000</v>
      </c>
      <c r="H10" s="79">
        <f>(VLOOKUP(B10,'CC -2'!$B$8:$AQ$19,35,0)+VLOOKUP(B10,'CC -2'!$B$8:$AQ$19,36,0))</f>
        <v>0</v>
      </c>
      <c r="I10" s="132">
        <f t="shared" ref="I10" si="4">ROUND(E10/$U$2*H10,0)</f>
        <v>0</v>
      </c>
      <c r="J10" s="80">
        <f t="shared" ref="J10" si="5">F10+H10</f>
        <v>24</v>
      </c>
      <c r="K10" s="32">
        <f>G10+I10</f>
        <v>4000000</v>
      </c>
      <c r="L10" s="77">
        <f t="shared" ref="L10" si="6">+F10*15000</f>
        <v>360000</v>
      </c>
      <c r="M10" s="33">
        <f t="shared" ref="M10" si="7">K10+L10</f>
        <v>4360000</v>
      </c>
      <c r="N10" s="33">
        <f t="shared" ref="N10:P11" si="8">IF(VLOOKUP($B10,DS,11,0)="x",$E10*N$4,0)</f>
        <v>0</v>
      </c>
      <c r="O10" s="33">
        <f t="shared" si="8"/>
        <v>0</v>
      </c>
      <c r="P10" s="33">
        <f t="shared" si="8"/>
        <v>0</v>
      </c>
      <c r="Q10" s="32">
        <f t="shared" ref="Q10" si="9">M10-SUM(N10:P10)</f>
        <v>4360000</v>
      </c>
      <c r="R10" s="32">
        <f>VLOOKUP(B10,DS,23,0)</f>
        <v>0</v>
      </c>
      <c r="S10" s="38">
        <f t="shared" ref="S10" si="10">Q10-R10</f>
        <v>4360000</v>
      </c>
      <c r="T10" s="32"/>
      <c r="U10" s="91"/>
      <c r="V10" s="30"/>
      <c r="W10" s="22"/>
      <c r="X10" s="5"/>
      <c r="Y10" s="5"/>
      <c r="Z10" s="5"/>
      <c r="AA10" s="4"/>
      <c r="AB10" s="4"/>
      <c r="AC10" s="4"/>
      <c r="AD10" s="4"/>
      <c r="AE10" s="4"/>
    </row>
    <row r="11" spans="1:31" s="29" customFormat="1" ht="24" customHeight="1">
      <c r="A11" s="31">
        <v>2</v>
      </c>
      <c r="B11" s="128" t="s">
        <v>114</v>
      </c>
      <c r="C11" s="76" t="str">
        <f t="shared" ref="C11" si="11">VLOOKUP(B11,DS,2,0)</f>
        <v>Đinh Hoàng Lợi</v>
      </c>
      <c r="D11" s="103" t="str">
        <f t="shared" ref="D11" si="12">VLOOKUP(B11,DS,3,0)</f>
        <v>Tài xế</v>
      </c>
      <c r="E11" s="77">
        <f t="shared" ref="E11" si="13">VLOOKUP(B11,DS,4,0)</f>
        <v>5000000</v>
      </c>
      <c r="F11" s="79">
        <f>VLOOKUP(B11,'CC -2'!$B$8:$AQ$19,34,0)</f>
        <v>24</v>
      </c>
      <c r="G11" s="132">
        <f t="shared" ref="G11" si="14">ROUND(E11/$U$2*F11,0)</f>
        <v>5000000</v>
      </c>
      <c r="H11" s="79">
        <f>(VLOOKUP(B11,'CC -2'!$B$8:$AQ$19,35,0)+VLOOKUP(B11,'CC -2'!$B$8:$AQ$19,36,0))</f>
        <v>0</v>
      </c>
      <c r="I11" s="132">
        <f t="shared" ref="I11" si="15">ROUND(E11/$U$2*H11,0)</f>
        <v>0</v>
      </c>
      <c r="J11" s="80">
        <f t="shared" ref="J11" si="16">F11+H11</f>
        <v>24</v>
      </c>
      <c r="K11" s="32">
        <f>G11+I11</f>
        <v>5000000</v>
      </c>
      <c r="L11" s="77">
        <f t="shared" ref="L11" si="17">+F11*15000</f>
        <v>360000</v>
      </c>
      <c r="M11" s="33">
        <f t="shared" ref="M11" si="18">K11+L11</f>
        <v>5360000</v>
      </c>
      <c r="N11" s="33">
        <f t="shared" si="8"/>
        <v>0</v>
      </c>
      <c r="O11" s="33">
        <f t="shared" si="8"/>
        <v>0</v>
      </c>
      <c r="P11" s="33">
        <f t="shared" si="8"/>
        <v>0</v>
      </c>
      <c r="Q11" s="32">
        <f t="shared" ref="Q11" si="19">M11-SUM(N11:P11)</f>
        <v>5360000</v>
      </c>
      <c r="R11" s="32">
        <f>VLOOKUP(B11,DS,23,0)</f>
        <v>0</v>
      </c>
      <c r="S11" s="38">
        <f t="shared" ref="S11" si="20">Q11-R11</f>
        <v>5360000</v>
      </c>
      <c r="T11" s="32"/>
      <c r="U11" s="91"/>
      <c r="V11" s="30"/>
      <c r="W11" s="22"/>
      <c r="X11" s="5"/>
      <c r="Y11" s="5"/>
      <c r="Z11" s="5"/>
      <c r="AA11" s="4"/>
      <c r="AB11" s="4"/>
      <c r="AC11" s="4"/>
      <c r="AD11" s="4"/>
      <c r="AE11" s="4"/>
    </row>
    <row r="12" spans="1:31" s="29" customFormat="1" ht="24" customHeight="1">
      <c r="A12" s="187"/>
      <c r="B12" s="188"/>
      <c r="C12" s="189"/>
      <c r="D12" s="190"/>
      <c r="E12" s="191"/>
      <c r="F12" s="192"/>
      <c r="G12" s="193"/>
      <c r="H12" s="192"/>
      <c r="I12" s="193"/>
      <c r="J12" s="194"/>
      <c r="K12" s="195"/>
      <c r="L12" s="191"/>
      <c r="M12" s="196"/>
      <c r="N12" s="196"/>
      <c r="O12" s="196"/>
      <c r="P12" s="196"/>
      <c r="Q12" s="195"/>
      <c r="R12" s="195"/>
      <c r="S12" s="197"/>
      <c r="T12" s="195"/>
      <c r="U12" s="91"/>
      <c r="V12" s="30"/>
      <c r="W12" s="22"/>
      <c r="X12" s="5"/>
      <c r="Y12" s="5"/>
      <c r="Z12" s="5"/>
      <c r="AA12" s="4"/>
      <c r="AB12" s="4"/>
      <c r="AC12" s="4"/>
      <c r="AD12" s="4"/>
      <c r="AE12" s="4"/>
    </row>
    <row r="13" spans="1:31" s="25" customFormat="1" ht="21" customHeight="1">
      <c r="A13" s="221" t="s">
        <v>23</v>
      </c>
      <c r="B13" s="222"/>
      <c r="C13" s="222"/>
      <c r="D13" s="223"/>
      <c r="E13" s="127">
        <f>SUM(E9:E10)</f>
        <v>4000000</v>
      </c>
      <c r="F13" s="127"/>
      <c r="G13" s="127">
        <f>SUM(G9:G10)</f>
        <v>4000000</v>
      </c>
      <c r="H13" s="127"/>
      <c r="I13" s="127">
        <f>SUM(I9:I10)</f>
        <v>0</v>
      </c>
      <c r="J13" s="127"/>
      <c r="K13" s="127">
        <f t="shared" ref="K13:S13" si="21">SUM(K9:K10)</f>
        <v>4000000</v>
      </c>
      <c r="L13" s="127">
        <f t="shared" si="21"/>
        <v>360000</v>
      </c>
      <c r="M13" s="127">
        <f t="shared" si="21"/>
        <v>4360000</v>
      </c>
      <c r="N13" s="127">
        <f t="shared" si="21"/>
        <v>0</v>
      </c>
      <c r="O13" s="127">
        <f t="shared" si="21"/>
        <v>0</v>
      </c>
      <c r="P13" s="127">
        <f t="shared" si="21"/>
        <v>0</v>
      </c>
      <c r="Q13" s="127">
        <f t="shared" si="21"/>
        <v>4360000</v>
      </c>
      <c r="R13" s="127">
        <f t="shared" si="21"/>
        <v>0</v>
      </c>
      <c r="S13" s="127">
        <f t="shared" si="21"/>
        <v>4360000</v>
      </c>
      <c r="T13" s="20"/>
      <c r="U13" s="91"/>
      <c r="V13" s="26"/>
      <c r="W13" s="26"/>
      <c r="X13" s="26"/>
      <c r="Y13" s="26"/>
      <c r="Z13" s="26"/>
    </row>
    <row r="14" spans="1:31" s="72" customFormat="1" ht="24" customHeight="1">
      <c r="A14" s="174" t="s">
        <v>69</v>
      </c>
      <c r="B14" s="173" t="s">
        <v>70</v>
      </c>
      <c r="C14" s="172"/>
      <c r="D14" s="172"/>
      <c r="E14" s="172"/>
      <c r="F14" s="172"/>
      <c r="G14" s="172"/>
      <c r="H14" s="172"/>
      <c r="I14" s="172"/>
      <c r="J14" s="172"/>
      <c r="K14" s="172"/>
      <c r="L14" s="172"/>
      <c r="M14" s="172"/>
      <c r="N14" s="172"/>
      <c r="O14" s="172"/>
      <c r="P14" s="172"/>
      <c r="Q14" s="172"/>
      <c r="R14" s="172"/>
      <c r="S14" s="172"/>
      <c r="T14" s="172"/>
      <c r="U14" s="91"/>
      <c r="V14" s="73"/>
      <c r="W14" s="73"/>
      <c r="X14" s="74"/>
      <c r="Y14" s="74"/>
      <c r="Z14" s="74"/>
      <c r="AA14" s="75"/>
      <c r="AB14" s="75"/>
      <c r="AC14" s="75"/>
      <c r="AD14" s="75"/>
      <c r="AE14" s="75"/>
    </row>
    <row r="15" spans="1:31" s="29" customFormat="1" ht="24" customHeight="1">
      <c r="A15" s="31">
        <v>1</v>
      </c>
      <c r="B15" s="128" t="s">
        <v>75</v>
      </c>
      <c r="C15" s="76" t="str">
        <f t="shared" ref="C15" si="22">VLOOKUP(B15,DS,2,0)</f>
        <v>Lê Văn Hữu</v>
      </c>
      <c r="D15" s="103" t="str">
        <f t="shared" ref="D15" si="23">VLOOKUP(B15,DS,3,0)</f>
        <v>Công Đoạn 1</v>
      </c>
      <c r="E15" s="77">
        <f t="shared" ref="E15" si="24">VLOOKUP(B15,DS,4,0)</f>
        <v>3200000</v>
      </c>
      <c r="F15" s="79">
        <f>VLOOKUP(B15,'CC -2'!$B$8:$AQ$19,34,0)</f>
        <v>24</v>
      </c>
      <c r="G15" s="132">
        <f t="shared" ref="G15" si="25">ROUND(E15/$U$2*F15,0)</f>
        <v>3200000</v>
      </c>
      <c r="H15" s="79">
        <f>(VLOOKUP(B15,'CC -2'!$B$8:$AQ$19,35,0)+VLOOKUP(B15,'CC -2'!$B$8:$AQ$19,36,0))</f>
        <v>0</v>
      </c>
      <c r="I15" s="132">
        <f t="shared" ref="I15" si="26">ROUND(E15/$U$2*H15,0)</f>
        <v>0</v>
      </c>
      <c r="J15" s="133">
        <f t="shared" ref="J15:K15" si="27">F15+H15</f>
        <v>24</v>
      </c>
      <c r="K15" s="32">
        <f t="shared" si="27"/>
        <v>3200000</v>
      </c>
      <c r="L15" s="77">
        <f t="shared" ref="L15" si="28">+F15*15000</f>
        <v>360000</v>
      </c>
      <c r="M15" s="33">
        <f t="shared" ref="M15" si="29">K15+L15</f>
        <v>3560000</v>
      </c>
      <c r="N15" s="33">
        <f t="shared" ref="N15:P17" si="30">IF(VLOOKUP($B15,DS,11,0)="x",$E15*N$4,0)</f>
        <v>0</v>
      </c>
      <c r="O15" s="33">
        <f t="shared" si="30"/>
        <v>0</v>
      </c>
      <c r="P15" s="33">
        <f t="shared" si="30"/>
        <v>0</v>
      </c>
      <c r="Q15" s="32">
        <f>M15-SUM(N15:P15)</f>
        <v>3560000</v>
      </c>
      <c r="R15" s="32">
        <f t="shared" ref="R15" si="31">VLOOKUP(B15,DS,23,0)</f>
        <v>0</v>
      </c>
      <c r="S15" s="38">
        <f>Q15-R15</f>
        <v>3560000</v>
      </c>
      <c r="T15" s="32"/>
      <c r="U15" s="91"/>
      <c r="V15" s="30"/>
      <c r="W15" s="22"/>
      <c r="X15" s="5"/>
      <c r="Y15" s="5"/>
      <c r="Z15" s="5"/>
      <c r="AA15" s="4"/>
      <c r="AB15" s="4"/>
      <c r="AC15" s="4"/>
      <c r="AD15" s="4"/>
      <c r="AE15" s="4"/>
    </row>
    <row r="16" spans="1:31" s="29" customFormat="1" ht="24" customHeight="1">
      <c r="A16" s="31">
        <v>2</v>
      </c>
      <c r="B16" s="128" t="s">
        <v>76</v>
      </c>
      <c r="C16" s="76" t="str">
        <f t="shared" ref="C16:C17" si="32">VLOOKUP(B16,DS,2,0)</f>
        <v>Lý Thanh Hải</v>
      </c>
      <c r="D16" s="103" t="str">
        <f t="shared" ref="D16:D17" si="33">VLOOKUP(B16,DS,3,0)</f>
        <v>Công Đoạn 1</v>
      </c>
      <c r="E16" s="77">
        <f t="shared" ref="E16:E17" si="34">VLOOKUP(B16,DS,4,0)</f>
        <v>5000000</v>
      </c>
      <c r="F16" s="79">
        <f>VLOOKUP(B16,'CC -2'!$B$8:$AQ$19,34,0)</f>
        <v>24</v>
      </c>
      <c r="G16" s="132">
        <f t="shared" ref="G16:G17" si="35">ROUND(E16/$U$2*F16,0)</f>
        <v>5000000</v>
      </c>
      <c r="H16" s="79">
        <f>(VLOOKUP(B16,'CC -2'!$B$8:$AQ$19,35,0)+VLOOKUP(B16,'CC -2'!$B$8:$AQ$19,36,0))</f>
        <v>0</v>
      </c>
      <c r="I16" s="132">
        <f t="shared" ref="I16:I17" si="36">ROUND(E16/$U$2*H16,0)</f>
        <v>0</v>
      </c>
      <c r="J16" s="133">
        <f t="shared" ref="J16:J17" si="37">F16+H16</f>
        <v>24</v>
      </c>
      <c r="K16" s="32">
        <f t="shared" ref="K16:K17" si="38">G16+I16</f>
        <v>5000000</v>
      </c>
      <c r="L16" s="77">
        <f t="shared" ref="L16:L17" si="39">+F16*15000</f>
        <v>360000</v>
      </c>
      <c r="M16" s="33">
        <f t="shared" ref="M16:M17" si="40">K16+L16</f>
        <v>5360000</v>
      </c>
      <c r="N16" s="33">
        <f t="shared" si="30"/>
        <v>0</v>
      </c>
      <c r="O16" s="33">
        <f t="shared" si="30"/>
        <v>0</v>
      </c>
      <c r="P16" s="33">
        <f t="shared" si="30"/>
        <v>0</v>
      </c>
      <c r="Q16" s="32">
        <f t="shared" ref="Q16:Q17" si="41">M16-SUM(N16:P16)</f>
        <v>5360000</v>
      </c>
      <c r="R16" s="32">
        <f t="shared" ref="R16:R17" si="42">VLOOKUP(B16,DS,23,0)</f>
        <v>0</v>
      </c>
      <c r="S16" s="38">
        <f t="shared" ref="S16:S17" si="43">Q16-R16</f>
        <v>5360000</v>
      </c>
      <c r="T16" s="32"/>
      <c r="U16" s="91"/>
      <c r="V16" s="30"/>
      <c r="W16" s="22"/>
      <c r="X16" s="5"/>
      <c r="Y16" s="5"/>
      <c r="Z16" s="5"/>
      <c r="AA16" s="4"/>
      <c r="AB16" s="4"/>
      <c r="AC16" s="4"/>
      <c r="AD16" s="4"/>
      <c r="AE16" s="4"/>
    </row>
    <row r="17" spans="1:31" s="29" customFormat="1" ht="24" customHeight="1">
      <c r="A17" s="31">
        <v>3</v>
      </c>
      <c r="B17" s="128" t="s">
        <v>77</v>
      </c>
      <c r="C17" s="76" t="str">
        <f t="shared" si="32"/>
        <v>Cao Minh Chí</v>
      </c>
      <c r="D17" s="103" t="str">
        <f t="shared" si="33"/>
        <v>Công Đoạn 2</v>
      </c>
      <c r="E17" s="77">
        <f t="shared" si="34"/>
        <v>3200000</v>
      </c>
      <c r="F17" s="79">
        <f>VLOOKUP(B17,'CC -2'!$B$8:$AQ$19,34,0)</f>
        <v>24</v>
      </c>
      <c r="G17" s="132">
        <f t="shared" si="35"/>
        <v>3200000</v>
      </c>
      <c r="H17" s="79">
        <f>(VLOOKUP(B17,'CC -2'!$B$8:$AQ$19,35,0)+VLOOKUP(B17,'CC -2'!$B$8:$AQ$19,36,0))</f>
        <v>0</v>
      </c>
      <c r="I17" s="132">
        <f t="shared" si="36"/>
        <v>0</v>
      </c>
      <c r="J17" s="133">
        <f t="shared" si="37"/>
        <v>24</v>
      </c>
      <c r="K17" s="32">
        <f t="shared" si="38"/>
        <v>3200000</v>
      </c>
      <c r="L17" s="77">
        <f t="shared" si="39"/>
        <v>360000</v>
      </c>
      <c r="M17" s="33">
        <f t="shared" si="40"/>
        <v>3560000</v>
      </c>
      <c r="N17" s="33">
        <f t="shared" si="30"/>
        <v>0</v>
      </c>
      <c r="O17" s="33">
        <f t="shared" si="30"/>
        <v>0</v>
      </c>
      <c r="P17" s="33">
        <f t="shared" si="30"/>
        <v>0</v>
      </c>
      <c r="Q17" s="32">
        <f t="shared" si="41"/>
        <v>3560000</v>
      </c>
      <c r="R17" s="32">
        <f t="shared" si="42"/>
        <v>0</v>
      </c>
      <c r="S17" s="38">
        <f t="shared" si="43"/>
        <v>3560000</v>
      </c>
      <c r="T17" s="32"/>
      <c r="U17" s="91"/>
      <c r="V17" s="30"/>
      <c r="W17" s="22"/>
      <c r="X17" s="5"/>
      <c r="Y17" s="5"/>
      <c r="Z17" s="5"/>
      <c r="AA17" s="4"/>
      <c r="AB17" s="4"/>
      <c r="AC17" s="4"/>
      <c r="AD17" s="4"/>
      <c r="AE17" s="4"/>
    </row>
    <row r="18" spans="1:31" s="29" customFormat="1" ht="22.5" customHeight="1">
      <c r="A18" s="34"/>
      <c r="B18" s="171"/>
      <c r="C18" s="35"/>
      <c r="D18" s="3"/>
      <c r="E18" s="36"/>
      <c r="F18" s="36"/>
      <c r="G18" s="36"/>
      <c r="H18" s="36"/>
      <c r="I18" s="36"/>
      <c r="J18" s="37"/>
      <c r="K18" s="36"/>
      <c r="L18" s="36"/>
      <c r="M18" s="170"/>
      <c r="N18" s="36"/>
      <c r="O18" s="36"/>
      <c r="P18" s="36"/>
      <c r="Q18" s="36"/>
      <c r="R18" s="36"/>
      <c r="S18" s="36"/>
      <c r="T18" s="32"/>
      <c r="U18" s="91"/>
      <c r="V18" s="30"/>
      <c r="W18" s="30"/>
      <c r="X18" s="30"/>
      <c r="Y18" s="30"/>
      <c r="Z18" s="30"/>
    </row>
    <row r="19" spans="1:31" s="25" customFormat="1" ht="21" customHeight="1">
      <c r="A19" s="221" t="s">
        <v>23</v>
      </c>
      <c r="B19" s="222"/>
      <c r="C19" s="222"/>
      <c r="D19" s="223"/>
      <c r="E19" s="127">
        <f>SUM(E14:E18)</f>
        <v>11400000</v>
      </c>
      <c r="F19" s="127"/>
      <c r="G19" s="127">
        <f>SUM(G14:G18)</f>
        <v>11400000</v>
      </c>
      <c r="H19" s="127"/>
      <c r="I19" s="127">
        <f>SUM(I14:I18)</f>
        <v>0</v>
      </c>
      <c r="J19" s="127"/>
      <c r="K19" s="127">
        <f t="shared" ref="K19:S19" si="44">SUM(K14:K18)</f>
        <v>11400000</v>
      </c>
      <c r="L19" s="127">
        <f t="shared" si="44"/>
        <v>1080000</v>
      </c>
      <c r="M19" s="127">
        <f t="shared" si="44"/>
        <v>12480000</v>
      </c>
      <c r="N19" s="127">
        <f t="shared" si="44"/>
        <v>0</v>
      </c>
      <c r="O19" s="127">
        <f t="shared" si="44"/>
        <v>0</v>
      </c>
      <c r="P19" s="127">
        <f t="shared" si="44"/>
        <v>0</v>
      </c>
      <c r="Q19" s="127">
        <f t="shared" si="44"/>
        <v>12480000</v>
      </c>
      <c r="R19" s="127">
        <f t="shared" si="44"/>
        <v>0</v>
      </c>
      <c r="S19" s="127">
        <f t="shared" si="44"/>
        <v>12480000</v>
      </c>
      <c r="T19" s="20"/>
      <c r="U19" s="91"/>
      <c r="V19" s="26"/>
      <c r="W19" s="26"/>
      <c r="X19" s="26"/>
      <c r="Y19" s="26"/>
      <c r="Z19" s="26"/>
    </row>
    <row r="20" spans="1:31" ht="11.25" customHeight="1">
      <c r="A20" s="8"/>
      <c r="B20" s="8"/>
      <c r="C20" s="9"/>
      <c r="D20" s="104"/>
      <c r="E20" s="81"/>
      <c r="F20" s="9"/>
      <c r="G20" s="9"/>
      <c r="H20" s="9"/>
      <c r="I20" s="9"/>
      <c r="K20" s="9"/>
      <c r="L20" s="9"/>
      <c r="M20" s="89"/>
      <c r="N20" s="9"/>
      <c r="O20" s="9"/>
      <c r="P20" s="9"/>
      <c r="Q20" s="9"/>
      <c r="R20" s="9"/>
      <c r="S20" s="9"/>
      <c r="T20" s="9"/>
      <c r="U20" s="91"/>
    </row>
    <row r="21" spans="1:31" s="29" customFormat="1" ht="11.25" customHeight="1">
      <c r="A21" s="65"/>
      <c r="B21" s="65"/>
      <c r="C21" s="65"/>
      <c r="D21" s="120"/>
      <c r="E21" s="121"/>
      <c r="F21" s="65"/>
      <c r="G21" s="65"/>
      <c r="H21" s="65"/>
      <c r="I21" s="65"/>
      <c r="J21" s="122"/>
      <c r="K21" s="121"/>
      <c r="L21" s="65"/>
      <c r="M21" s="65"/>
      <c r="N21" s="65"/>
      <c r="O21" s="65"/>
      <c r="P21" s="65"/>
      <c r="Q21" s="65"/>
      <c r="R21" s="65"/>
      <c r="S21" s="95" t="str">
        <f>"Bình Chánh, ngày  "&amp;$V$2&amp;"   tháng   "&amp;TEXT(E4,"mm")&amp;"   năm "&amp;TEXT(E4,"yyyy")</f>
        <v>Bình Chánh, ngày  31   tháng   02   năm 2017</v>
      </c>
      <c r="T21" s="65"/>
      <c r="U21" s="123"/>
      <c r="V21" s="30"/>
      <c r="W21" s="30"/>
      <c r="X21" s="30"/>
      <c r="Y21" s="30"/>
      <c r="Z21" s="30"/>
    </row>
    <row r="22" spans="1:31" s="29" customFormat="1" ht="12.75">
      <c r="A22" s="23"/>
      <c r="B22" s="23"/>
      <c r="C22" s="23" t="s">
        <v>53</v>
      </c>
      <c r="D22" s="124"/>
      <c r="E22" s="66"/>
      <c r="F22" s="123"/>
      <c r="G22" s="66"/>
      <c r="H22" s="66"/>
      <c r="I22" s="66"/>
      <c r="J22" s="125"/>
      <c r="K22" s="30"/>
      <c r="L22" s="23"/>
      <c r="M22" s="134"/>
      <c r="N22" s="19"/>
      <c r="O22" s="19"/>
      <c r="P22" s="19"/>
      <c r="Q22" s="19"/>
      <c r="S22" s="123" t="s">
        <v>21</v>
      </c>
      <c r="T22" s="123"/>
      <c r="U22" s="123"/>
      <c r="V22" s="30"/>
      <c r="W22" s="30"/>
      <c r="X22" s="30"/>
      <c r="Y22" s="30"/>
      <c r="Z22" s="30"/>
    </row>
    <row r="23" spans="1:31" ht="12">
      <c r="A23" s="8"/>
      <c r="B23" s="8"/>
      <c r="C23" s="15"/>
      <c r="E23" s="13"/>
      <c r="F23" s="12"/>
      <c r="G23" s="13"/>
      <c r="H23" s="13"/>
      <c r="I23" s="13"/>
      <c r="K23" s="7"/>
      <c r="L23" s="15"/>
      <c r="N23" s="11"/>
      <c r="O23" s="11"/>
      <c r="P23" s="11"/>
      <c r="Q23" s="11"/>
      <c r="S23" s="11"/>
      <c r="T23" s="12"/>
      <c r="U23" s="91"/>
    </row>
    <row r="24" spans="1:31" ht="12">
      <c r="C24" s="15"/>
      <c r="L24" s="15"/>
      <c r="T24" s="15"/>
      <c r="U24" s="91"/>
    </row>
    <row r="25" spans="1:31" ht="12">
      <c r="U25" s="91"/>
    </row>
    <row r="26" spans="1:31" ht="12">
      <c r="U26" s="91"/>
    </row>
    <row r="27" spans="1:31" ht="12">
      <c r="U27" s="91"/>
    </row>
    <row r="28" spans="1:31" ht="12">
      <c r="U28" s="91"/>
    </row>
    <row r="29" spans="1:31" ht="12">
      <c r="U29" s="91"/>
    </row>
    <row r="30" spans="1:31" ht="12">
      <c r="U30" s="91"/>
    </row>
  </sheetData>
  <protectedRanges>
    <protectedRange password="CC78" sqref="V18:IK19 C5:D7 B22:C22 V5:W9 A18:A23 B18:B21 B23 V14:W14 Q5:T7 E5:I6 N5:P6 L5 L22 J6:K7 L7 A25:T58 U31:U58 N18:S18 V25:IK58 J18:L18 A59:IK65326 AF14:IK14 V13:IK13 D13:T13 D19:T19 W10:W12 AF5:IK12 Q10:S12 A10:B13" name="Range1"/>
    <protectedRange password="CC78" sqref="F7:H7" name="Range1_4"/>
    <protectedRange password="CC78" sqref="V22:IK23 S22:T23 N22:Q23 E22:I23" name="Range1_1_1"/>
    <protectedRange password="CC78" sqref="U1 W1:IK3 V4:IK4 B4:T4 R2:S3 B1:Q3 U18:U30 X14:AE14 U4:U14 X5:AE12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Q15:S17 W15:W17 AF15:IK17 A15:B17" name="Range1_5"/>
    <protectedRange password="CC78" sqref="U15:U17 X15:AE17" name="Range1_2_3"/>
    <protectedRange password="CC78" sqref="V15:V17" name="Range1_1_3"/>
    <protectedRange password="CC78" sqref="K15:K17 K10:K12" name="Range1_6"/>
    <protectedRange password="CC78" sqref="A2:A3" name="Range1_2_1_3"/>
    <protectedRange password="CC78" sqref="U2" name="Range1_2_2_1_1"/>
  </protectedRanges>
  <autoFilter ref="A7:AE10"/>
  <mergeCells count="22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X10" sqref="X10"/>
      <selection pane="topRight" activeCell="X10" sqref="X10"/>
      <selection pane="bottomLeft" activeCell="X10" sqref="X10"/>
      <selection pane="bottomRight" activeCell="A9" sqref="A9:B12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03" customWidth="1"/>
    <col min="5" max="5" width="7.140625" style="2" customWidth="1"/>
    <col min="6" max="33" width="3.42578125" style="110" customWidth="1"/>
    <col min="34" max="36" width="3.42578125" style="111" customWidth="1"/>
    <col min="37" max="38" width="4.42578125" style="2" customWidth="1"/>
    <col min="39" max="39" width="5.5703125" style="8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6"/>
      <c r="B1" s="41"/>
      <c r="C1" s="41"/>
      <c r="D1" s="45"/>
      <c r="E1" s="41"/>
      <c r="F1" s="45"/>
      <c r="G1" s="45"/>
      <c r="H1" s="45"/>
      <c r="I1" s="45"/>
      <c r="J1" s="45"/>
      <c r="K1" s="106"/>
      <c r="L1" s="106"/>
      <c r="M1" s="106"/>
      <c r="N1" s="106"/>
      <c r="O1" s="106"/>
      <c r="P1" s="106"/>
      <c r="Q1" s="106"/>
      <c r="R1" s="106"/>
      <c r="S1" s="43" t="str">
        <f>CONCATENATE("BẢNG CHẤM CÔNG THÁNG ",TEXT($E$4,"mm")," NĂM ",TEXT($E$4,"yyyy"))</f>
        <v>BẢNG CHẤM CÔNG THÁNG 03 NĂM 2017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42"/>
      <c r="AL1" s="42"/>
      <c r="AM1" s="259" t="s">
        <v>79</v>
      </c>
      <c r="AN1" s="260"/>
      <c r="AO1" s="260"/>
      <c r="AP1" s="260"/>
      <c r="AQ1" s="260"/>
      <c r="AR1" s="260"/>
      <c r="AS1" s="261"/>
      <c r="AT1" s="44"/>
    </row>
    <row r="2" spans="1:91" ht="20.25">
      <c r="A2" s="126"/>
      <c r="B2" s="45"/>
      <c r="C2" s="45"/>
      <c r="D2" s="45"/>
      <c r="E2" s="45"/>
      <c r="F2" s="45"/>
      <c r="G2" s="45"/>
      <c r="H2" s="45"/>
      <c r="I2" s="45"/>
      <c r="J2" s="45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42"/>
      <c r="AL2" s="42"/>
      <c r="AM2" s="83"/>
      <c r="AN2" s="46"/>
      <c r="AO2" s="46"/>
      <c r="AP2" s="46"/>
      <c r="AQ2" s="46"/>
      <c r="AR2" s="46"/>
      <c r="AS2" s="82"/>
      <c r="AT2" s="82"/>
    </row>
    <row r="3" spans="1:91" ht="21" customHeight="1">
      <c r="A3" s="126"/>
      <c r="B3" s="47"/>
      <c r="C3" s="47"/>
      <c r="D3" s="48"/>
      <c r="E3" s="48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42"/>
      <c r="AL3" s="42"/>
      <c r="AM3" s="83"/>
      <c r="AN3" s="44"/>
      <c r="AO3" s="44"/>
      <c r="AP3" s="44"/>
      <c r="AQ3" s="44"/>
      <c r="AR3" s="44"/>
      <c r="AS3" s="49"/>
      <c r="AT3" s="49"/>
    </row>
    <row r="4" spans="1:91" ht="14.25" customHeight="1">
      <c r="A4" s="50"/>
      <c r="B4" s="50"/>
      <c r="C4" s="142"/>
      <c r="D4" s="141"/>
      <c r="E4" s="51">
        <v>42795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3"/>
      <c r="AI4" s="53"/>
      <c r="AJ4" s="53"/>
      <c r="AK4" s="50"/>
      <c r="AL4" s="50"/>
      <c r="AM4" s="84"/>
      <c r="AN4" s="50"/>
      <c r="AO4" s="50"/>
      <c r="AP4" s="50"/>
      <c r="AQ4" s="50"/>
      <c r="AR4" s="50"/>
      <c r="AS4" s="50"/>
      <c r="AT4" s="88"/>
    </row>
    <row r="5" spans="1:91" s="54" customFormat="1" ht="18.75" customHeight="1">
      <c r="A5" s="256" t="s">
        <v>26</v>
      </c>
      <c r="B5" s="256" t="s">
        <v>3</v>
      </c>
      <c r="C5" s="256" t="s">
        <v>1</v>
      </c>
      <c r="D5" s="258" t="s">
        <v>27</v>
      </c>
      <c r="E5" s="256" t="s">
        <v>28</v>
      </c>
      <c r="F5" s="105">
        <f>+E4</f>
        <v>42795</v>
      </c>
      <c r="G5" s="105">
        <f t="shared" ref="G5:AJ5" si="0">F5+1</f>
        <v>42796</v>
      </c>
      <c r="H5" s="105">
        <f t="shared" si="0"/>
        <v>42797</v>
      </c>
      <c r="I5" s="105">
        <f t="shared" si="0"/>
        <v>42798</v>
      </c>
      <c r="J5" s="105">
        <f t="shared" si="0"/>
        <v>42799</v>
      </c>
      <c r="K5" s="105">
        <f t="shared" si="0"/>
        <v>42800</v>
      </c>
      <c r="L5" s="105">
        <f t="shared" si="0"/>
        <v>42801</v>
      </c>
      <c r="M5" s="105">
        <f t="shared" si="0"/>
        <v>42802</v>
      </c>
      <c r="N5" s="105">
        <f t="shared" si="0"/>
        <v>42803</v>
      </c>
      <c r="O5" s="105">
        <f t="shared" si="0"/>
        <v>42804</v>
      </c>
      <c r="P5" s="105">
        <f t="shared" si="0"/>
        <v>42805</v>
      </c>
      <c r="Q5" s="105">
        <f t="shared" si="0"/>
        <v>42806</v>
      </c>
      <c r="R5" s="105">
        <f t="shared" si="0"/>
        <v>42807</v>
      </c>
      <c r="S5" s="105">
        <f t="shared" si="0"/>
        <v>42808</v>
      </c>
      <c r="T5" s="105">
        <f t="shared" si="0"/>
        <v>42809</v>
      </c>
      <c r="U5" s="105">
        <f t="shared" si="0"/>
        <v>42810</v>
      </c>
      <c r="V5" s="105">
        <f t="shared" si="0"/>
        <v>42811</v>
      </c>
      <c r="W5" s="105">
        <f t="shared" si="0"/>
        <v>42812</v>
      </c>
      <c r="X5" s="105">
        <f t="shared" si="0"/>
        <v>42813</v>
      </c>
      <c r="Y5" s="105">
        <f t="shared" si="0"/>
        <v>42814</v>
      </c>
      <c r="Z5" s="105">
        <f t="shared" si="0"/>
        <v>42815</v>
      </c>
      <c r="AA5" s="105">
        <f t="shared" si="0"/>
        <v>42816</v>
      </c>
      <c r="AB5" s="105">
        <f t="shared" si="0"/>
        <v>42817</v>
      </c>
      <c r="AC5" s="105">
        <f t="shared" si="0"/>
        <v>42818</v>
      </c>
      <c r="AD5" s="105">
        <f t="shared" si="0"/>
        <v>42819</v>
      </c>
      <c r="AE5" s="105">
        <f t="shared" si="0"/>
        <v>42820</v>
      </c>
      <c r="AF5" s="105">
        <f t="shared" si="0"/>
        <v>42821</v>
      </c>
      <c r="AG5" s="105">
        <f t="shared" si="0"/>
        <v>42822</v>
      </c>
      <c r="AH5" s="105">
        <f>AG5+1</f>
        <v>42823</v>
      </c>
      <c r="AI5" s="105">
        <f t="shared" si="0"/>
        <v>42824</v>
      </c>
      <c r="AJ5" s="105">
        <f t="shared" si="0"/>
        <v>42825</v>
      </c>
      <c r="AK5" s="262" t="s">
        <v>15</v>
      </c>
      <c r="AL5" s="263"/>
      <c r="AM5" s="264"/>
      <c r="AN5" s="265" t="s">
        <v>39</v>
      </c>
      <c r="AO5" s="265" t="s">
        <v>35</v>
      </c>
      <c r="AP5" s="265" t="s">
        <v>36</v>
      </c>
      <c r="AQ5" s="265" t="s">
        <v>37</v>
      </c>
      <c r="AR5" s="265" t="s">
        <v>38</v>
      </c>
      <c r="AS5" s="258" t="s">
        <v>0</v>
      </c>
      <c r="AT5" s="25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4" customFormat="1" ht="39.75" customHeight="1">
      <c r="A6" s="257"/>
      <c r="B6" s="257"/>
      <c r="C6" s="257"/>
      <c r="D6" s="257"/>
      <c r="E6" s="257"/>
      <c r="F6" s="160" t="str">
        <f>CHOOSE(WEEKDAY(F5),"C.Nhật","T.Hai","T.Ba","T.Tư","T.Năm","T.Sáu","T.Bảy")</f>
        <v>T.Tư</v>
      </c>
      <c r="G6" s="160" t="str">
        <f t="shared" ref="G6:AJ6" si="1">CHOOSE(WEEKDAY(G5),"C.Nhật","T.Hai","T.Ba","T.Tư","T.Năm","T.Sáu","T.Bảy")</f>
        <v>T.Năm</v>
      </c>
      <c r="H6" s="160" t="str">
        <f t="shared" si="1"/>
        <v>T.Sáu</v>
      </c>
      <c r="I6" s="160" t="str">
        <f t="shared" si="1"/>
        <v>T.Bảy</v>
      </c>
      <c r="J6" s="160" t="str">
        <f t="shared" si="1"/>
        <v>C.Nhật</v>
      </c>
      <c r="K6" s="160" t="str">
        <f t="shared" si="1"/>
        <v>T.Hai</v>
      </c>
      <c r="L6" s="160" t="str">
        <f t="shared" si="1"/>
        <v>T.Ba</v>
      </c>
      <c r="M6" s="160" t="str">
        <f t="shared" si="1"/>
        <v>T.Tư</v>
      </c>
      <c r="N6" s="160" t="str">
        <f t="shared" si="1"/>
        <v>T.Năm</v>
      </c>
      <c r="O6" s="160" t="str">
        <f t="shared" si="1"/>
        <v>T.Sáu</v>
      </c>
      <c r="P6" s="160" t="str">
        <f t="shared" si="1"/>
        <v>T.Bảy</v>
      </c>
      <c r="Q6" s="160" t="str">
        <f t="shared" si="1"/>
        <v>C.Nhật</v>
      </c>
      <c r="R6" s="160" t="str">
        <f t="shared" si="1"/>
        <v>T.Hai</v>
      </c>
      <c r="S6" s="160" t="str">
        <f t="shared" si="1"/>
        <v>T.Ba</v>
      </c>
      <c r="T6" s="160" t="str">
        <f t="shared" si="1"/>
        <v>T.Tư</v>
      </c>
      <c r="U6" s="160" t="str">
        <f t="shared" si="1"/>
        <v>T.Năm</v>
      </c>
      <c r="V6" s="160" t="str">
        <f t="shared" si="1"/>
        <v>T.Sáu</v>
      </c>
      <c r="W6" s="160" t="str">
        <f t="shared" si="1"/>
        <v>T.Bảy</v>
      </c>
      <c r="X6" s="160" t="str">
        <f t="shared" si="1"/>
        <v>C.Nhật</v>
      </c>
      <c r="Y6" s="160" t="str">
        <f t="shared" si="1"/>
        <v>T.Hai</v>
      </c>
      <c r="Z6" s="160" t="str">
        <f t="shared" si="1"/>
        <v>T.Ba</v>
      </c>
      <c r="AA6" s="160" t="str">
        <f t="shared" si="1"/>
        <v>T.Tư</v>
      </c>
      <c r="AB6" s="160" t="str">
        <f t="shared" si="1"/>
        <v>T.Năm</v>
      </c>
      <c r="AC6" s="160" t="str">
        <f t="shared" si="1"/>
        <v>T.Sáu</v>
      </c>
      <c r="AD6" s="160" t="str">
        <f t="shared" si="1"/>
        <v>T.Bảy</v>
      </c>
      <c r="AE6" s="160" t="str">
        <f t="shared" si="1"/>
        <v>C.Nhật</v>
      </c>
      <c r="AF6" s="160" t="str">
        <f t="shared" si="1"/>
        <v>T.Hai</v>
      </c>
      <c r="AG6" s="160" t="str">
        <f t="shared" si="1"/>
        <v>T.Ba</v>
      </c>
      <c r="AH6" s="160" t="str">
        <f t="shared" si="1"/>
        <v>T.Tư</v>
      </c>
      <c r="AI6" s="160" t="str">
        <f t="shared" si="1"/>
        <v>T.Năm</v>
      </c>
      <c r="AJ6" s="160" t="str">
        <f t="shared" si="1"/>
        <v>T.Sáu</v>
      </c>
      <c r="AK6" s="161" t="s">
        <v>16</v>
      </c>
      <c r="AL6" s="161" t="s">
        <v>29</v>
      </c>
      <c r="AM6" s="162" t="s">
        <v>17</v>
      </c>
      <c r="AN6" s="266"/>
      <c r="AO6" s="266"/>
      <c r="AP6" s="266"/>
      <c r="AQ6" s="266"/>
      <c r="AR6" s="266"/>
      <c r="AS6" s="257"/>
      <c r="AT6" s="25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4" customFormat="1" ht="12.75" customHeight="1">
      <c r="A7" s="163">
        <v>1</v>
      </c>
      <c r="B7" s="163">
        <v>1</v>
      </c>
      <c r="C7" s="163">
        <v>2</v>
      </c>
      <c r="D7" s="163">
        <v>3</v>
      </c>
      <c r="E7" s="163">
        <v>4</v>
      </c>
      <c r="F7" s="163">
        <v>5</v>
      </c>
      <c r="G7" s="163">
        <v>6</v>
      </c>
      <c r="H7" s="163">
        <v>7</v>
      </c>
      <c r="I7" s="163">
        <v>8</v>
      </c>
      <c r="J7" s="163">
        <v>9</v>
      </c>
      <c r="K7" s="163">
        <v>10</v>
      </c>
      <c r="L7" s="163">
        <v>11</v>
      </c>
      <c r="M7" s="163">
        <v>12</v>
      </c>
      <c r="N7" s="163">
        <v>13</v>
      </c>
      <c r="O7" s="163">
        <v>14</v>
      </c>
      <c r="P7" s="163">
        <v>15</v>
      </c>
      <c r="Q7" s="163">
        <v>16</v>
      </c>
      <c r="R7" s="163">
        <v>17</v>
      </c>
      <c r="S7" s="163">
        <v>18</v>
      </c>
      <c r="T7" s="163">
        <v>19</v>
      </c>
      <c r="U7" s="163">
        <v>20</v>
      </c>
      <c r="V7" s="163">
        <v>21</v>
      </c>
      <c r="W7" s="163">
        <v>22</v>
      </c>
      <c r="X7" s="163">
        <v>23</v>
      </c>
      <c r="Y7" s="163">
        <v>24</v>
      </c>
      <c r="Z7" s="163">
        <v>25</v>
      </c>
      <c r="AA7" s="163">
        <v>26</v>
      </c>
      <c r="AB7" s="163">
        <v>27</v>
      </c>
      <c r="AC7" s="163">
        <v>28</v>
      </c>
      <c r="AD7" s="163">
        <v>29</v>
      </c>
      <c r="AE7" s="163">
        <v>30</v>
      </c>
      <c r="AF7" s="163">
        <v>31</v>
      </c>
      <c r="AG7" s="163">
        <v>32</v>
      </c>
      <c r="AH7" s="163">
        <v>33</v>
      </c>
      <c r="AI7" s="163">
        <v>34</v>
      </c>
      <c r="AJ7" s="163">
        <v>35</v>
      </c>
      <c r="AK7" s="163">
        <v>36</v>
      </c>
      <c r="AL7" s="163">
        <v>37</v>
      </c>
      <c r="AM7" s="163">
        <v>38</v>
      </c>
      <c r="AN7" s="163">
        <v>39</v>
      </c>
      <c r="AO7" s="163">
        <v>40</v>
      </c>
      <c r="AP7" s="163">
        <v>41</v>
      </c>
      <c r="AQ7" s="163">
        <v>42</v>
      </c>
      <c r="AR7" s="163">
        <v>43</v>
      </c>
      <c r="AS7" s="163">
        <v>44</v>
      </c>
      <c r="AT7" s="205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6" customFormat="1" ht="21" customHeight="1">
      <c r="A8" s="164" t="s">
        <v>68</v>
      </c>
      <c r="B8" s="167" t="s">
        <v>78</v>
      </c>
      <c r="C8" s="168"/>
      <c r="D8" s="168"/>
      <c r="E8" s="168"/>
      <c r="F8" s="168"/>
      <c r="G8" s="168"/>
      <c r="H8" s="168"/>
      <c r="I8" s="168"/>
      <c r="J8" s="168"/>
      <c r="K8" s="168"/>
      <c r="L8" s="168"/>
      <c r="M8" s="168"/>
      <c r="N8" s="168"/>
      <c r="O8" s="168"/>
      <c r="P8" s="168"/>
      <c r="Q8" s="168"/>
      <c r="R8" s="168"/>
      <c r="S8" s="168"/>
      <c r="T8" s="168"/>
      <c r="U8" s="168"/>
      <c r="V8" s="168"/>
      <c r="W8" s="168"/>
      <c r="X8" s="168"/>
      <c r="Y8" s="168"/>
      <c r="Z8" s="168"/>
      <c r="AA8" s="168"/>
      <c r="AB8" s="168"/>
      <c r="AC8" s="168"/>
      <c r="AD8" s="168"/>
      <c r="AE8" s="168"/>
      <c r="AF8" s="168"/>
      <c r="AG8" s="168"/>
      <c r="AH8" s="168"/>
      <c r="AI8" s="168"/>
      <c r="AJ8" s="168"/>
      <c r="AK8" s="168"/>
      <c r="AL8" s="168"/>
      <c r="AM8" s="168"/>
      <c r="AN8" s="168"/>
      <c r="AO8" s="168"/>
      <c r="AP8" s="168"/>
      <c r="AQ8" s="168"/>
      <c r="AR8" s="168"/>
      <c r="AS8" s="169"/>
      <c r="AT8" s="165"/>
    </row>
    <row r="9" spans="1:91" s="54" customFormat="1" ht="18" customHeight="1">
      <c r="A9" s="249">
        <v>1</v>
      </c>
      <c r="B9" s="249" t="s">
        <v>74</v>
      </c>
      <c r="C9" s="251" t="str">
        <f>VLOOKUP(B9,DS,2,0)</f>
        <v>Nguyễn Thị Kim Quyên</v>
      </c>
      <c r="D9" s="253" t="str">
        <f>VLOOKUP(B9,DS,3,0)</f>
        <v>Văn Phòng</v>
      </c>
      <c r="E9" s="55" t="s">
        <v>30</v>
      </c>
      <c r="F9" s="130">
        <v>8</v>
      </c>
      <c r="G9" s="130">
        <v>8</v>
      </c>
      <c r="H9" s="130">
        <v>8</v>
      </c>
      <c r="I9" s="130">
        <v>8</v>
      </c>
      <c r="J9" s="130"/>
      <c r="K9" s="130">
        <v>8</v>
      </c>
      <c r="L9" s="130">
        <v>8</v>
      </c>
      <c r="M9" s="130">
        <v>8</v>
      </c>
      <c r="N9" s="130">
        <v>8</v>
      </c>
      <c r="O9" s="130">
        <v>8</v>
      </c>
      <c r="P9" s="130">
        <v>8</v>
      </c>
      <c r="Q9" s="130"/>
      <c r="R9" s="130">
        <v>8</v>
      </c>
      <c r="S9" s="130">
        <v>8</v>
      </c>
      <c r="T9" s="130">
        <v>8</v>
      </c>
      <c r="U9" s="130">
        <v>8</v>
      </c>
      <c r="V9" s="130">
        <v>8</v>
      </c>
      <c r="W9" s="130">
        <v>8</v>
      </c>
      <c r="X9" s="130"/>
      <c r="Y9" s="130">
        <v>8</v>
      </c>
      <c r="Z9" s="130">
        <v>8</v>
      </c>
      <c r="AA9" s="130">
        <v>8</v>
      </c>
      <c r="AB9" s="130">
        <v>8</v>
      </c>
      <c r="AC9" s="130">
        <v>8</v>
      </c>
      <c r="AD9" s="130">
        <v>8</v>
      </c>
      <c r="AE9" s="130"/>
      <c r="AF9" s="130">
        <v>8</v>
      </c>
      <c r="AG9" s="130">
        <v>8</v>
      </c>
      <c r="AH9" s="130">
        <v>8</v>
      </c>
      <c r="AI9" s="130">
        <v>8</v>
      </c>
      <c r="AJ9" s="130">
        <v>8</v>
      </c>
      <c r="AK9" s="245">
        <f>((SUM(F9:AJ9))/8)-(SUMIF($F$6:$AJ$6,"C.Nhật",F9:AJ9)/8)</f>
        <v>27</v>
      </c>
      <c r="AL9" s="245">
        <f>SUM(F10:AJ10)/8*1.5</f>
        <v>0</v>
      </c>
      <c r="AM9" s="247">
        <f>SUMIF($F$6:$AJ$6,"C.Nhật",$F9:$AJ10)/8*2</f>
        <v>0</v>
      </c>
      <c r="AN9" s="241">
        <f>SUM(AK9:AM10)</f>
        <v>27</v>
      </c>
      <c r="AO9" s="243">
        <v>0</v>
      </c>
      <c r="AP9" s="241"/>
      <c r="AQ9" s="241"/>
      <c r="AR9" s="241"/>
      <c r="AS9" s="239"/>
      <c r="AT9" s="205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4" customFormat="1" ht="18" customHeight="1">
      <c r="A10" s="250"/>
      <c r="B10" s="250"/>
      <c r="C10" s="252"/>
      <c r="D10" s="254"/>
      <c r="E10" s="56" t="s">
        <v>29</v>
      </c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131"/>
      <c r="AK10" s="246"/>
      <c r="AL10" s="246"/>
      <c r="AM10" s="248"/>
      <c r="AN10" s="242"/>
      <c r="AO10" s="244"/>
      <c r="AP10" s="242"/>
      <c r="AQ10" s="242"/>
      <c r="AR10" s="242"/>
      <c r="AS10" s="240"/>
      <c r="AT10" s="205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4" customFormat="1" ht="18" customHeight="1">
      <c r="A11" s="249">
        <v>2</v>
      </c>
      <c r="B11" s="249" t="s">
        <v>114</v>
      </c>
      <c r="C11" s="251" t="str">
        <f>VLOOKUP(B11,DS,2,0)</f>
        <v>Đinh Hoàng Lợi</v>
      </c>
      <c r="D11" s="253" t="str">
        <f>VLOOKUP(B11,DS,3,0)</f>
        <v>Tài xế</v>
      </c>
      <c r="E11" s="55" t="s">
        <v>30</v>
      </c>
      <c r="F11" s="130">
        <v>8</v>
      </c>
      <c r="G11" s="130">
        <v>8</v>
      </c>
      <c r="H11" s="130">
        <v>8</v>
      </c>
      <c r="I11" s="130">
        <v>8</v>
      </c>
      <c r="J11" s="130"/>
      <c r="K11" s="130">
        <v>8</v>
      </c>
      <c r="L11" s="130">
        <v>8</v>
      </c>
      <c r="M11" s="130">
        <v>8</v>
      </c>
      <c r="N11" s="130">
        <v>8</v>
      </c>
      <c r="O11" s="130">
        <v>8</v>
      </c>
      <c r="P11" s="130">
        <v>8</v>
      </c>
      <c r="Q11" s="130"/>
      <c r="R11" s="130">
        <v>8</v>
      </c>
      <c r="S11" s="130">
        <v>8</v>
      </c>
      <c r="T11" s="130">
        <v>8</v>
      </c>
      <c r="U11" s="130">
        <v>8</v>
      </c>
      <c r="V11" s="130">
        <v>8</v>
      </c>
      <c r="W11" s="130">
        <v>8</v>
      </c>
      <c r="X11" s="130"/>
      <c r="Y11" s="130">
        <v>8</v>
      </c>
      <c r="Z11" s="130">
        <v>8</v>
      </c>
      <c r="AA11" s="130">
        <v>8</v>
      </c>
      <c r="AB11" s="130">
        <v>8</v>
      </c>
      <c r="AC11" s="130">
        <v>8</v>
      </c>
      <c r="AD11" s="130">
        <v>8</v>
      </c>
      <c r="AE11" s="130"/>
      <c r="AF11" s="130">
        <v>8</v>
      </c>
      <c r="AG11" s="130">
        <v>8</v>
      </c>
      <c r="AH11" s="130">
        <v>8</v>
      </c>
      <c r="AI11" s="130">
        <v>8</v>
      </c>
      <c r="AJ11" s="130">
        <v>8</v>
      </c>
      <c r="AK11" s="245">
        <f>((SUM(F11:AJ11))/8)-(SUMIF($F$6:$AJ$6,"C.Nhật",F11:AJ11)/8)</f>
        <v>27</v>
      </c>
      <c r="AL11" s="245">
        <f>SUM(F12:AJ12)/8*1.5</f>
        <v>0</v>
      </c>
      <c r="AM11" s="247">
        <f>SUMIF($F$6:$AJ$6,"C.Nhật",$F11:$AJ12)/8*2</f>
        <v>0</v>
      </c>
      <c r="AN11" s="241">
        <f>SUM(AK11:AM12)</f>
        <v>27</v>
      </c>
      <c r="AO11" s="243">
        <v>0</v>
      </c>
      <c r="AP11" s="241"/>
      <c r="AQ11" s="241"/>
      <c r="AR11" s="241"/>
      <c r="AS11" s="239"/>
      <c r="AT11" s="224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4" customFormat="1" ht="18" customHeight="1">
      <c r="A12" s="250"/>
      <c r="B12" s="250"/>
      <c r="C12" s="252"/>
      <c r="D12" s="254"/>
      <c r="E12" s="56" t="s">
        <v>29</v>
      </c>
      <c r="F12" s="131"/>
      <c r="G12" s="131"/>
      <c r="H12" s="131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1"/>
      <c r="Y12" s="131"/>
      <c r="Z12" s="131"/>
      <c r="AA12" s="131"/>
      <c r="AB12" s="131"/>
      <c r="AC12" s="131"/>
      <c r="AD12" s="131"/>
      <c r="AE12" s="131"/>
      <c r="AF12" s="131"/>
      <c r="AG12" s="131"/>
      <c r="AH12" s="131"/>
      <c r="AI12" s="131"/>
      <c r="AJ12" s="131"/>
      <c r="AK12" s="246"/>
      <c r="AL12" s="246"/>
      <c r="AM12" s="248"/>
      <c r="AN12" s="242"/>
      <c r="AO12" s="244"/>
      <c r="AP12" s="242"/>
      <c r="AQ12" s="242"/>
      <c r="AR12" s="242"/>
      <c r="AS12" s="240"/>
      <c r="AT12" s="224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66" customFormat="1" ht="21" customHeight="1">
      <c r="A13" s="164" t="s">
        <v>69</v>
      </c>
      <c r="B13" s="167" t="s">
        <v>73</v>
      </c>
      <c r="C13" s="168"/>
      <c r="D13" s="168"/>
      <c r="E13" s="168"/>
      <c r="F13" s="168"/>
      <c r="G13" s="168"/>
      <c r="H13" s="168"/>
      <c r="I13" s="168"/>
      <c r="J13" s="168"/>
      <c r="K13" s="168"/>
      <c r="L13" s="168"/>
      <c r="M13" s="168"/>
      <c r="N13" s="168"/>
      <c r="O13" s="168"/>
      <c r="P13" s="168"/>
      <c r="Q13" s="168"/>
      <c r="R13" s="168"/>
      <c r="S13" s="168"/>
      <c r="T13" s="168"/>
      <c r="U13" s="168"/>
      <c r="V13" s="168"/>
      <c r="W13" s="168"/>
      <c r="X13" s="168"/>
      <c r="Y13" s="168"/>
      <c r="Z13" s="168"/>
      <c r="AA13" s="168"/>
      <c r="AB13" s="168"/>
      <c r="AC13" s="168"/>
      <c r="AD13" s="168"/>
      <c r="AE13" s="168"/>
      <c r="AF13" s="168"/>
      <c r="AG13" s="168"/>
      <c r="AH13" s="168"/>
      <c r="AI13" s="168"/>
      <c r="AJ13" s="168"/>
      <c r="AK13" s="168"/>
      <c r="AL13" s="168"/>
      <c r="AM13" s="168"/>
      <c r="AN13" s="168"/>
      <c r="AO13" s="168"/>
      <c r="AP13" s="168"/>
      <c r="AQ13" s="168"/>
      <c r="AR13" s="168"/>
      <c r="AS13" s="169"/>
      <c r="AT13" s="165"/>
    </row>
    <row r="14" spans="1:91" s="54" customFormat="1" ht="18" customHeight="1">
      <c r="A14" s="249">
        <v>1</v>
      </c>
      <c r="B14" s="249" t="s">
        <v>75</v>
      </c>
      <c r="C14" s="251" t="str">
        <f>VLOOKUP(B14,DS,2,0)</f>
        <v>Lê Văn Hữu</v>
      </c>
      <c r="D14" s="253" t="str">
        <f>VLOOKUP(B14,DS,3,0)</f>
        <v>Công Đoạn 1</v>
      </c>
      <c r="E14" s="55" t="s">
        <v>30</v>
      </c>
      <c r="F14" s="130">
        <v>8</v>
      </c>
      <c r="G14" s="130">
        <v>8</v>
      </c>
      <c r="H14" s="130">
        <v>8</v>
      </c>
      <c r="I14" s="130">
        <v>8</v>
      </c>
      <c r="J14" s="130"/>
      <c r="K14" s="130">
        <v>8</v>
      </c>
      <c r="L14" s="130">
        <v>8</v>
      </c>
      <c r="M14" s="130">
        <v>8</v>
      </c>
      <c r="N14" s="130">
        <v>8</v>
      </c>
      <c r="O14" s="130">
        <v>8</v>
      </c>
      <c r="P14" s="130">
        <v>8</v>
      </c>
      <c r="Q14" s="130"/>
      <c r="R14" s="130">
        <v>8</v>
      </c>
      <c r="S14" s="130">
        <v>8</v>
      </c>
      <c r="T14" s="130">
        <v>8</v>
      </c>
      <c r="U14" s="130">
        <v>8</v>
      </c>
      <c r="V14" s="130">
        <v>8</v>
      </c>
      <c r="W14" s="130">
        <v>8</v>
      </c>
      <c r="X14" s="130"/>
      <c r="Y14" s="130">
        <v>8</v>
      </c>
      <c r="Z14" s="130">
        <v>8</v>
      </c>
      <c r="AA14" s="130">
        <v>8</v>
      </c>
      <c r="AB14" s="130">
        <v>8</v>
      </c>
      <c r="AC14" s="130">
        <v>8</v>
      </c>
      <c r="AD14" s="130">
        <v>8</v>
      </c>
      <c r="AE14" s="130"/>
      <c r="AF14" s="130">
        <v>8</v>
      </c>
      <c r="AG14" s="130">
        <v>8</v>
      </c>
      <c r="AH14" s="130">
        <v>8</v>
      </c>
      <c r="AI14" s="130">
        <v>8</v>
      </c>
      <c r="AJ14" s="130">
        <v>8</v>
      </c>
      <c r="AK14" s="245">
        <f t="shared" ref="AK14" si="2">((SUM(F14:AJ14))/8)-(SUMIF($F$6:$AJ$6,"C.Nhật",F14:AJ14)/8)</f>
        <v>27</v>
      </c>
      <c r="AL14" s="245">
        <f t="shared" ref="AL14" si="3">SUM(F15:AJ15)/8*1.5</f>
        <v>0</v>
      </c>
      <c r="AM14" s="247">
        <f>SUMIF($F$6:$AJ$6,"C.Nhật",$F14:$AJ15)/8*2</f>
        <v>0</v>
      </c>
      <c r="AN14" s="241">
        <f>SUM(AK14:AM15)</f>
        <v>27</v>
      </c>
      <c r="AO14" s="243">
        <v>0</v>
      </c>
      <c r="AP14" s="241"/>
      <c r="AQ14" s="241"/>
      <c r="AR14" s="241"/>
      <c r="AS14" s="239"/>
      <c r="AT14" s="205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4" customFormat="1" ht="18" customHeight="1">
      <c r="A15" s="250"/>
      <c r="B15" s="250"/>
      <c r="C15" s="252"/>
      <c r="D15" s="254"/>
      <c r="E15" s="56" t="s">
        <v>29</v>
      </c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31"/>
      <c r="AK15" s="246"/>
      <c r="AL15" s="246"/>
      <c r="AM15" s="248"/>
      <c r="AN15" s="242"/>
      <c r="AO15" s="244"/>
      <c r="AP15" s="242"/>
      <c r="AQ15" s="242"/>
      <c r="AR15" s="242"/>
      <c r="AS15" s="240"/>
      <c r="AT15" s="205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4" customFormat="1" ht="18" customHeight="1">
      <c r="A16" s="249">
        <v>2</v>
      </c>
      <c r="B16" s="249" t="s">
        <v>76</v>
      </c>
      <c r="C16" s="251" t="str">
        <f>VLOOKUP(B16,DS,2,0)</f>
        <v>Lý Thanh Hải</v>
      </c>
      <c r="D16" s="253" t="str">
        <f>VLOOKUP(B16,DS,3,0)</f>
        <v>Công Đoạn 1</v>
      </c>
      <c r="E16" s="55" t="s">
        <v>30</v>
      </c>
      <c r="F16" s="130">
        <v>8</v>
      </c>
      <c r="G16" s="130">
        <v>8</v>
      </c>
      <c r="H16" s="130">
        <v>8</v>
      </c>
      <c r="I16" s="130">
        <v>8</v>
      </c>
      <c r="J16" s="130"/>
      <c r="K16" s="130">
        <v>8</v>
      </c>
      <c r="L16" s="130">
        <v>8</v>
      </c>
      <c r="M16" s="130">
        <v>8</v>
      </c>
      <c r="N16" s="130">
        <v>8</v>
      </c>
      <c r="O16" s="130">
        <v>8</v>
      </c>
      <c r="P16" s="130">
        <v>8</v>
      </c>
      <c r="Q16" s="130"/>
      <c r="R16" s="130">
        <v>8</v>
      </c>
      <c r="S16" s="130">
        <v>8</v>
      </c>
      <c r="T16" s="130">
        <v>8</v>
      </c>
      <c r="U16" s="130">
        <v>8</v>
      </c>
      <c r="V16" s="130">
        <v>8</v>
      </c>
      <c r="W16" s="130">
        <v>8</v>
      </c>
      <c r="X16" s="130"/>
      <c r="Y16" s="130">
        <v>8</v>
      </c>
      <c r="Z16" s="130">
        <v>8</v>
      </c>
      <c r="AA16" s="130">
        <v>8</v>
      </c>
      <c r="AB16" s="130">
        <v>8</v>
      </c>
      <c r="AC16" s="130">
        <v>8</v>
      </c>
      <c r="AD16" s="130">
        <v>8</v>
      </c>
      <c r="AE16" s="130"/>
      <c r="AF16" s="130">
        <v>8</v>
      </c>
      <c r="AG16" s="130">
        <v>8</v>
      </c>
      <c r="AH16" s="130">
        <v>8</v>
      </c>
      <c r="AI16" s="130">
        <v>8</v>
      </c>
      <c r="AJ16" s="130">
        <v>8</v>
      </c>
      <c r="AK16" s="245">
        <f t="shared" ref="AK16" si="4">((SUM(F16:AJ16))/8)-(SUMIF($F$6:$AJ$6,"C.Nhật",F16:AJ16)/8)</f>
        <v>27</v>
      </c>
      <c r="AL16" s="245">
        <f t="shared" ref="AL16" si="5">SUM(F17:AJ17)/8*1.5</f>
        <v>0</v>
      </c>
      <c r="AM16" s="247">
        <f>SUMIF($F$6:$AJ$6,"C.Nhật",$F16:$AJ17)/8*2</f>
        <v>0</v>
      </c>
      <c r="AN16" s="241">
        <f t="shared" ref="AN16" si="6">SUM(AK16:AM17)</f>
        <v>27</v>
      </c>
      <c r="AO16" s="243">
        <v>0</v>
      </c>
      <c r="AP16" s="241"/>
      <c r="AQ16" s="241"/>
      <c r="AR16" s="241"/>
      <c r="AS16" s="239"/>
      <c r="AT16" s="21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54" customFormat="1" ht="18" customHeight="1">
      <c r="A17" s="250"/>
      <c r="B17" s="250"/>
      <c r="C17" s="252"/>
      <c r="D17" s="254"/>
      <c r="E17" s="56" t="s">
        <v>29</v>
      </c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31"/>
      <c r="AK17" s="246"/>
      <c r="AL17" s="246"/>
      <c r="AM17" s="248"/>
      <c r="AN17" s="242"/>
      <c r="AO17" s="244"/>
      <c r="AP17" s="242"/>
      <c r="AQ17" s="242"/>
      <c r="AR17" s="242"/>
      <c r="AS17" s="240"/>
      <c r="AT17" s="21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54" customFormat="1" ht="18" customHeight="1">
      <c r="A18" s="249">
        <v>3</v>
      </c>
      <c r="B18" s="249" t="s">
        <v>77</v>
      </c>
      <c r="C18" s="251" t="str">
        <f>VLOOKUP(B18,DS,2,0)</f>
        <v>Cao Minh Chí</v>
      </c>
      <c r="D18" s="253" t="str">
        <f>VLOOKUP(B18,DS,3,0)</f>
        <v>Công Đoạn 2</v>
      </c>
      <c r="E18" s="55" t="s">
        <v>30</v>
      </c>
      <c r="F18" s="130">
        <v>8</v>
      </c>
      <c r="G18" s="130">
        <v>8</v>
      </c>
      <c r="H18" s="130">
        <v>8</v>
      </c>
      <c r="I18" s="130">
        <v>8</v>
      </c>
      <c r="J18" s="130"/>
      <c r="K18" s="130">
        <v>8</v>
      </c>
      <c r="L18" s="130">
        <v>8</v>
      </c>
      <c r="M18" s="130">
        <v>8</v>
      </c>
      <c r="N18" s="130">
        <v>8</v>
      </c>
      <c r="O18" s="130">
        <v>8</v>
      </c>
      <c r="P18" s="130">
        <v>8</v>
      </c>
      <c r="Q18" s="130"/>
      <c r="R18" s="130">
        <v>8</v>
      </c>
      <c r="S18" s="130">
        <v>8</v>
      </c>
      <c r="T18" s="130">
        <v>8</v>
      </c>
      <c r="U18" s="130">
        <v>8</v>
      </c>
      <c r="V18" s="130">
        <v>8</v>
      </c>
      <c r="W18" s="130">
        <v>8</v>
      </c>
      <c r="X18" s="130"/>
      <c r="Y18" s="130">
        <v>8</v>
      </c>
      <c r="Z18" s="130">
        <v>8</v>
      </c>
      <c r="AA18" s="130">
        <v>8</v>
      </c>
      <c r="AB18" s="130">
        <v>8</v>
      </c>
      <c r="AC18" s="130">
        <v>8</v>
      </c>
      <c r="AD18" s="130">
        <v>8</v>
      </c>
      <c r="AE18" s="130"/>
      <c r="AF18" s="130">
        <v>8</v>
      </c>
      <c r="AG18" s="130">
        <v>8</v>
      </c>
      <c r="AH18" s="130">
        <v>8</v>
      </c>
      <c r="AI18" s="130">
        <v>8</v>
      </c>
      <c r="AJ18" s="130">
        <v>8</v>
      </c>
      <c r="AK18" s="245">
        <f t="shared" ref="AK18" si="7">((SUM(F18:AJ18))/8)-(SUMIF($F$6:$AJ$6,"C.Nhật",F18:AJ18)/8)</f>
        <v>27</v>
      </c>
      <c r="AL18" s="245">
        <f t="shared" ref="AL18" si="8">SUM(F19:AJ19)/8*1.5</f>
        <v>0</v>
      </c>
      <c r="AM18" s="247">
        <f>SUMIF($F$6:$AJ$6,"C.Nhật",$F18:$AJ19)/8*2</f>
        <v>0</v>
      </c>
      <c r="AN18" s="241">
        <f t="shared" ref="AN18" si="9">SUM(AK18:AM19)</f>
        <v>27</v>
      </c>
      <c r="AO18" s="243">
        <v>0</v>
      </c>
      <c r="AP18" s="241"/>
      <c r="AQ18" s="241"/>
      <c r="AR18" s="241"/>
      <c r="AS18" s="239"/>
      <c r="AT18" s="21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54" customFormat="1" ht="18" customHeight="1">
      <c r="A19" s="250"/>
      <c r="B19" s="250"/>
      <c r="C19" s="252"/>
      <c r="D19" s="254"/>
      <c r="E19" s="56" t="s">
        <v>29</v>
      </c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131"/>
      <c r="W19" s="131"/>
      <c r="X19" s="131"/>
      <c r="Y19" s="131"/>
      <c r="Z19" s="131"/>
      <c r="AA19" s="131"/>
      <c r="AB19" s="131"/>
      <c r="AC19" s="131"/>
      <c r="AD19" s="131"/>
      <c r="AE19" s="131"/>
      <c r="AF19" s="131"/>
      <c r="AG19" s="131"/>
      <c r="AH19" s="131"/>
      <c r="AI19" s="131"/>
      <c r="AJ19" s="131"/>
      <c r="AK19" s="246"/>
      <c r="AL19" s="246"/>
      <c r="AM19" s="248"/>
      <c r="AN19" s="242"/>
      <c r="AO19" s="244"/>
      <c r="AP19" s="242"/>
      <c r="AQ19" s="242"/>
      <c r="AR19" s="242"/>
      <c r="AS19" s="240"/>
      <c r="AT19" s="21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57" customFormat="1" ht="12.75">
      <c r="A20" s="14"/>
      <c r="B20" s="58"/>
      <c r="C20" s="4"/>
      <c r="D20" s="100"/>
      <c r="E20" s="4"/>
      <c r="F20" s="62"/>
      <c r="G20" s="62"/>
      <c r="H20" s="59"/>
      <c r="I20" s="59"/>
      <c r="J20" s="107"/>
      <c r="K20" s="62"/>
      <c r="L20" s="59"/>
      <c r="M20" s="62"/>
      <c r="N20" s="62"/>
      <c r="O20" s="62"/>
      <c r="P20" s="62"/>
      <c r="Q20" s="59"/>
      <c r="R20" s="62"/>
      <c r="S20" s="62"/>
      <c r="T20" s="107"/>
      <c r="U20" s="62"/>
      <c r="V20" s="62"/>
      <c r="W20" s="62"/>
      <c r="X20" s="58"/>
      <c r="Y20" s="62"/>
      <c r="Z20" s="62"/>
      <c r="AA20" s="62"/>
      <c r="AB20" s="62"/>
      <c r="AC20" s="62"/>
      <c r="AD20" s="59"/>
      <c r="AE20" s="62"/>
      <c r="AF20" s="62"/>
      <c r="AG20" s="62"/>
      <c r="AH20" s="62"/>
      <c r="AI20" s="62"/>
      <c r="AJ20" s="62"/>
      <c r="AK20" s="4"/>
      <c r="AL20" s="4"/>
      <c r="AM20" s="85"/>
      <c r="AN20" s="61"/>
      <c r="AO20" s="61"/>
      <c r="AP20" s="61"/>
      <c r="AQ20" s="61"/>
      <c r="AR20" s="61"/>
      <c r="AS20" s="4"/>
      <c r="AT20" s="91"/>
    </row>
    <row r="21" spans="1:91" s="57" customFormat="1" ht="12.75">
      <c r="A21" s="14"/>
      <c r="B21" s="58"/>
      <c r="C21" s="14" t="s">
        <v>14</v>
      </c>
      <c r="D21" s="100"/>
      <c r="E21" s="4"/>
      <c r="F21" s="62"/>
      <c r="G21" s="62"/>
      <c r="H21" s="59"/>
      <c r="I21" s="59"/>
      <c r="J21" s="107"/>
      <c r="K21" s="62"/>
      <c r="L21" s="59"/>
      <c r="M21" s="62"/>
      <c r="N21" s="62"/>
      <c r="O21" s="62"/>
      <c r="P21" s="62"/>
      <c r="Q21" s="59"/>
      <c r="R21" s="62"/>
      <c r="S21" s="62"/>
      <c r="T21" s="107"/>
      <c r="U21" s="62"/>
      <c r="V21" s="62"/>
      <c r="W21" s="62"/>
      <c r="X21" s="58"/>
      <c r="Y21" s="62"/>
      <c r="Z21" s="62"/>
      <c r="AA21" s="62"/>
      <c r="AB21" s="62"/>
      <c r="AC21" s="62"/>
      <c r="AD21" s="59"/>
      <c r="AE21" s="62"/>
      <c r="AF21" s="62"/>
      <c r="AG21" s="62"/>
      <c r="AH21" s="62"/>
      <c r="AI21" s="62"/>
      <c r="AJ21" s="62"/>
      <c r="AK21" s="4"/>
      <c r="AL21" s="4"/>
      <c r="AM21" s="85"/>
      <c r="AN21" s="61"/>
      <c r="AO21" s="61"/>
      <c r="AP21" s="61"/>
      <c r="AQ21" s="61"/>
      <c r="AR21" s="61"/>
      <c r="AS21" s="4"/>
      <c r="AT21" s="91"/>
    </row>
    <row r="22" spans="1:91" s="57" customFormat="1" ht="12.75">
      <c r="A22" s="12"/>
      <c r="B22" s="12"/>
      <c r="C22" s="4"/>
      <c r="D22" s="100"/>
      <c r="E22" s="4"/>
      <c r="F22" s="62"/>
      <c r="G22" s="62"/>
      <c r="H22" s="108"/>
      <c r="I22" s="108"/>
      <c r="J22" s="108"/>
      <c r="K22" s="62"/>
      <c r="L22" s="108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108"/>
      <c r="AE22" s="62"/>
      <c r="AF22" s="62"/>
      <c r="AG22" s="62"/>
      <c r="AH22" s="62"/>
      <c r="AI22" s="62"/>
      <c r="AJ22" s="62"/>
      <c r="AK22" s="4"/>
      <c r="AL22" s="4"/>
      <c r="AM22" s="85"/>
      <c r="AN22" s="63"/>
      <c r="AO22" s="63"/>
      <c r="AP22" s="63"/>
      <c r="AQ22" s="63"/>
      <c r="AR22" s="63"/>
      <c r="AS22" s="4"/>
      <c r="AT22" s="91"/>
    </row>
    <row r="23" spans="1:91" s="60" customFormat="1" ht="15" customHeight="1">
      <c r="A23" s="12"/>
      <c r="B23" s="12"/>
      <c r="C23" s="4"/>
      <c r="D23" s="100"/>
      <c r="E23" s="4"/>
      <c r="F23" s="62"/>
      <c r="G23" s="62"/>
      <c r="H23" s="108"/>
      <c r="I23" s="108"/>
      <c r="J23" s="108"/>
      <c r="K23" s="62"/>
      <c r="L23" s="108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108"/>
      <c r="AE23" s="62"/>
      <c r="AF23" s="62"/>
      <c r="AG23" s="62"/>
      <c r="AH23" s="62"/>
      <c r="AI23" s="62"/>
      <c r="AJ23" s="62"/>
      <c r="AK23" s="4"/>
      <c r="AL23" s="4"/>
      <c r="AM23" s="85"/>
      <c r="AN23" s="63"/>
      <c r="AO23" s="63"/>
      <c r="AP23" s="63"/>
      <c r="AQ23" s="63"/>
      <c r="AR23" s="63"/>
      <c r="AS23" s="4"/>
      <c r="AT23" s="4"/>
    </row>
    <row r="24" spans="1:91" s="60" customFormat="1" ht="11.25">
      <c r="A24" s="12"/>
      <c r="B24" s="12"/>
      <c r="C24" s="4"/>
      <c r="D24" s="100"/>
      <c r="E24" s="4"/>
      <c r="F24" s="62"/>
      <c r="G24" s="62"/>
      <c r="H24" s="108"/>
      <c r="I24" s="108"/>
      <c r="J24" s="108"/>
      <c r="K24" s="62"/>
      <c r="L24" s="108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108"/>
      <c r="AE24" s="62"/>
      <c r="AF24" s="62"/>
      <c r="AG24" s="62"/>
      <c r="AH24" s="62"/>
      <c r="AI24" s="62"/>
      <c r="AJ24" s="62"/>
      <c r="AK24" s="4"/>
      <c r="AL24" s="4"/>
      <c r="AM24" s="85"/>
      <c r="AN24" s="63"/>
      <c r="AO24" s="63"/>
      <c r="AP24" s="63"/>
      <c r="AQ24" s="63"/>
      <c r="AR24" s="63"/>
      <c r="AS24" s="4"/>
      <c r="AT24" s="4"/>
    </row>
    <row r="25" spans="1:91" s="60" customFormat="1" ht="11.25">
      <c r="A25" s="12"/>
      <c r="B25" s="12"/>
      <c r="C25" s="4"/>
      <c r="D25" s="100"/>
      <c r="E25" s="4"/>
      <c r="F25" s="62"/>
      <c r="G25" s="62"/>
      <c r="H25" s="108"/>
      <c r="I25" s="108"/>
      <c r="J25" s="108"/>
      <c r="K25" s="62"/>
      <c r="L25" s="108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108"/>
      <c r="AE25" s="62"/>
      <c r="AF25" s="62"/>
      <c r="AG25" s="62"/>
      <c r="AH25" s="62"/>
      <c r="AI25" s="62"/>
      <c r="AJ25" s="62"/>
      <c r="AK25" s="4"/>
      <c r="AL25" s="4"/>
      <c r="AM25" s="85"/>
      <c r="AN25" s="63"/>
      <c r="AO25" s="63"/>
      <c r="AP25" s="63"/>
      <c r="AQ25" s="63"/>
      <c r="AR25" s="63"/>
      <c r="AS25" s="4"/>
      <c r="AT25" s="4"/>
    </row>
    <row r="26" spans="1:91" s="60" customFormat="1" ht="11.25">
      <c r="A26" s="10"/>
      <c r="B26" s="10"/>
      <c r="C26" s="14"/>
      <c r="D26" s="101"/>
      <c r="E26" s="64"/>
      <c r="F26" s="107"/>
      <c r="G26" s="109"/>
      <c r="H26" s="59"/>
      <c r="I26" s="59"/>
      <c r="J26" s="59"/>
      <c r="K26" s="109"/>
      <c r="L26" s="59"/>
      <c r="M26" s="109"/>
      <c r="N26" s="109"/>
      <c r="O26" s="109"/>
      <c r="P26" s="109"/>
      <c r="Q26" s="59"/>
      <c r="R26" s="107"/>
      <c r="S26" s="109"/>
      <c r="T26" s="109"/>
      <c r="U26" s="59"/>
      <c r="V26" s="109"/>
      <c r="W26" s="109"/>
      <c r="X26" s="59"/>
      <c r="Y26" s="109"/>
      <c r="Z26" s="109"/>
      <c r="AA26" s="109"/>
      <c r="AB26" s="109"/>
      <c r="AC26" s="109"/>
      <c r="AD26" s="59"/>
      <c r="AE26" s="109"/>
      <c r="AF26" s="109"/>
      <c r="AG26" s="109"/>
      <c r="AH26" s="109"/>
      <c r="AI26" s="109"/>
      <c r="AJ26" s="109"/>
      <c r="AK26" s="64"/>
      <c r="AM26" s="86"/>
      <c r="AN26" s="10"/>
      <c r="AO26" s="10"/>
      <c r="AP26" s="10"/>
      <c r="AQ26" s="10"/>
      <c r="AR26" s="10"/>
      <c r="AS26" s="14"/>
      <c r="AT26" s="4"/>
    </row>
    <row r="27" spans="1:91" s="60" customFormat="1" ht="12.75">
      <c r="A27" s="2"/>
      <c r="B27" s="2" t="s">
        <v>0</v>
      </c>
      <c r="C27" s="2"/>
      <c r="D27" s="203"/>
      <c r="E27" s="2"/>
      <c r="F27" s="110"/>
      <c r="G27" s="110"/>
      <c r="H27" s="110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  <c r="AA27" s="110"/>
      <c r="AB27" s="110"/>
      <c r="AC27" s="110"/>
      <c r="AD27" s="110"/>
      <c r="AE27" s="110"/>
      <c r="AF27" s="110"/>
      <c r="AG27" s="110"/>
      <c r="AH27" s="111"/>
      <c r="AI27" s="111"/>
      <c r="AJ27" s="111"/>
      <c r="AK27" s="2"/>
      <c r="AL27" s="2"/>
      <c r="AM27" s="87"/>
      <c r="AN27" s="2"/>
      <c r="AO27" s="2"/>
      <c r="AP27" s="2"/>
      <c r="AQ27" s="2"/>
      <c r="AR27" s="2"/>
      <c r="AS27" s="2"/>
      <c r="AT27" s="4"/>
    </row>
    <row r="28" spans="1:91" s="60" customFormat="1" ht="12.75">
      <c r="A28" s="2"/>
      <c r="B28" s="2"/>
      <c r="C28" s="2" t="s">
        <v>40</v>
      </c>
      <c r="D28" s="203"/>
      <c r="E28" s="2"/>
      <c r="F28" s="110"/>
      <c r="G28" s="110"/>
      <c r="H28" s="110"/>
      <c r="I28" s="110"/>
      <c r="J28" s="110"/>
      <c r="K28" s="110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0"/>
      <c r="W28" s="110"/>
      <c r="X28" s="110"/>
      <c r="Y28" s="110"/>
      <c r="Z28" s="110"/>
      <c r="AA28" s="110"/>
      <c r="AB28" s="110"/>
      <c r="AC28" s="110"/>
      <c r="AD28" s="110"/>
      <c r="AE28" s="110"/>
      <c r="AF28" s="110"/>
      <c r="AG28" s="110"/>
      <c r="AH28" s="111"/>
      <c r="AI28" s="111"/>
      <c r="AJ28" s="111"/>
      <c r="AK28" s="2"/>
      <c r="AL28" s="2"/>
      <c r="AM28" s="87"/>
      <c r="AN28" s="2"/>
      <c r="AO28" s="2"/>
      <c r="AP28" s="2"/>
      <c r="AQ28" s="2"/>
      <c r="AR28" s="2"/>
      <c r="AS28" s="2"/>
      <c r="AT28" s="14"/>
    </row>
    <row r="29" spans="1:91" ht="15" customHeight="1">
      <c r="C29" s="2" t="s">
        <v>41</v>
      </c>
    </row>
    <row r="30" spans="1:91" ht="15" customHeight="1">
      <c r="C30" s="2" t="s">
        <v>42</v>
      </c>
    </row>
    <row r="31" spans="1:91" s="203" customFormat="1" ht="15" customHeight="1">
      <c r="A31" s="2"/>
      <c r="B31" s="2"/>
      <c r="C31" s="2" t="s">
        <v>43</v>
      </c>
      <c r="E31" s="2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  <c r="AE31" s="110"/>
      <c r="AF31" s="110"/>
      <c r="AG31" s="110"/>
      <c r="AH31" s="111"/>
      <c r="AI31" s="111"/>
      <c r="AJ31" s="111"/>
      <c r="AK31" s="2"/>
      <c r="AL31" s="2"/>
      <c r="AM31" s="87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03" customFormat="1" ht="15" customHeight="1">
      <c r="A32" s="2"/>
      <c r="B32" s="2"/>
      <c r="C32" s="2" t="s">
        <v>44</v>
      </c>
      <c r="E32" s="2"/>
      <c r="F32" s="110"/>
      <c r="G32" s="110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0"/>
      <c r="AG32" s="110"/>
      <c r="AH32" s="111"/>
      <c r="AI32" s="111"/>
      <c r="AJ32" s="111"/>
      <c r="AK32" s="2"/>
      <c r="AL32" s="2"/>
      <c r="AM32" s="87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203" customFormat="1" ht="15" customHeight="1">
      <c r="A33" s="2"/>
      <c r="B33" s="2"/>
      <c r="C33" s="2" t="s">
        <v>45</v>
      </c>
      <c r="E33" s="2"/>
      <c r="F33" s="110"/>
      <c r="G33" s="110"/>
      <c r="H33" s="110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  <c r="AA33" s="110"/>
      <c r="AB33" s="110"/>
      <c r="AC33" s="110"/>
      <c r="AD33" s="110"/>
      <c r="AE33" s="110"/>
      <c r="AF33" s="110"/>
      <c r="AG33" s="110"/>
      <c r="AH33" s="111"/>
      <c r="AI33" s="111"/>
      <c r="AJ33" s="111"/>
      <c r="AK33" s="2"/>
      <c r="AL33" s="2"/>
      <c r="AM33" s="87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03" customFormat="1" ht="15" customHeight="1">
      <c r="A34" s="2"/>
      <c r="B34" s="2"/>
      <c r="C34" s="2" t="s">
        <v>46</v>
      </c>
      <c r="E34" s="2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1"/>
      <c r="AI34" s="111"/>
      <c r="AJ34" s="111"/>
      <c r="AK34" s="2"/>
      <c r="AL34" s="2"/>
      <c r="AM34" s="87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203" customFormat="1" ht="15" customHeight="1">
      <c r="A35" s="2"/>
      <c r="B35" s="2"/>
      <c r="C35" s="2" t="s">
        <v>47</v>
      </c>
      <c r="E35" s="2"/>
      <c r="F35" s="110"/>
      <c r="G35" s="110"/>
      <c r="H35" s="110"/>
      <c r="I35" s="110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  <c r="AA35" s="110"/>
      <c r="AB35" s="110"/>
      <c r="AC35" s="110"/>
      <c r="AD35" s="110"/>
      <c r="AE35" s="110"/>
      <c r="AF35" s="110"/>
      <c r="AG35" s="110"/>
      <c r="AH35" s="111"/>
      <c r="AI35" s="111"/>
      <c r="AJ35" s="111"/>
      <c r="AK35" s="2"/>
      <c r="AL35" s="2"/>
      <c r="AM35" s="87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203" customFormat="1" ht="15" customHeight="1">
      <c r="A36" s="2"/>
      <c r="B36" s="2"/>
      <c r="C36" s="2" t="s">
        <v>48</v>
      </c>
      <c r="E36" s="2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1"/>
      <c r="AI36" s="111"/>
      <c r="AJ36" s="111"/>
      <c r="AK36" s="2"/>
      <c r="AL36" s="2"/>
      <c r="AM36" s="87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22:J25 Q20:Q21" name="Range1_1_1_1"/>
    <protectedRange password="CC78" sqref="J26" name="Range1_3_1_1"/>
    <protectedRange password="CC78" sqref="A14:A19" name="Range1_1_2"/>
    <protectedRange password="CC78" sqref="C14:E19 A14:A19" name="Range1_6_2"/>
    <protectedRange password="CC78" sqref="B14:B19" name="Range1_4_2"/>
  </protectedRanges>
  <mergeCells count="79">
    <mergeCell ref="A18:A19"/>
    <mergeCell ref="B18:B19"/>
    <mergeCell ref="C18:C19"/>
    <mergeCell ref="D18:D19"/>
    <mergeCell ref="AK18:AK19"/>
    <mergeCell ref="AQ16:AQ17"/>
    <mergeCell ref="AR16:AR17"/>
    <mergeCell ref="AS16:AS17"/>
    <mergeCell ref="AL16:AL17"/>
    <mergeCell ref="AM16:AM17"/>
    <mergeCell ref="AN16:AN17"/>
    <mergeCell ref="AO16:AO17"/>
    <mergeCell ref="AP16:AP17"/>
    <mergeCell ref="A16:A17"/>
    <mergeCell ref="B16:B17"/>
    <mergeCell ref="C16:C17"/>
    <mergeCell ref="D16:D17"/>
    <mergeCell ref="AK16:AK17"/>
    <mergeCell ref="C9:C10"/>
    <mergeCell ref="D9:D10"/>
    <mergeCell ref="AK9:AK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9:A10"/>
    <mergeCell ref="B9:B10"/>
    <mergeCell ref="AS14:AS15"/>
    <mergeCell ref="AM14:AM15"/>
    <mergeCell ref="AN14:AN15"/>
    <mergeCell ref="AO14:AO15"/>
    <mergeCell ref="AP14:AP15"/>
    <mergeCell ref="AQ14:AQ15"/>
    <mergeCell ref="A14:A15"/>
    <mergeCell ref="B14:B15"/>
    <mergeCell ref="C14:C15"/>
    <mergeCell ref="D14:D15"/>
    <mergeCell ref="AK14:AK15"/>
    <mergeCell ref="AL14:AL15"/>
    <mergeCell ref="AR14:AR15"/>
    <mergeCell ref="A11:A12"/>
    <mergeCell ref="AQ18:AQ19"/>
    <mergeCell ref="AR18:AR19"/>
    <mergeCell ref="AS18:AS19"/>
    <mergeCell ref="AL18:AL19"/>
    <mergeCell ref="AM18:AM19"/>
    <mergeCell ref="AN18:AN19"/>
    <mergeCell ref="AO18:AO19"/>
    <mergeCell ref="AP18:AP19"/>
    <mergeCell ref="B11:B12"/>
    <mergeCell ref="C11:C12"/>
    <mergeCell ref="D11:D12"/>
    <mergeCell ref="AK11:AK12"/>
    <mergeCell ref="AL11:AL12"/>
    <mergeCell ref="AR11:AR12"/>
    <mergeCell ref="AS11:AS12"/>
    <mergeCell ref="AM11:AM12"/>
    <mergeCell ref="AN11:AN12"/>
    <mergeCell ref="AO11:AO12"/>
    <mergeCell ref="AP11:AP12"/>
    <mergeCell ref="AQ11:AQ12"/>
  </mergeCells>
  <conditionalFormatting sqref="F5:AJ6 F9:AJ10">
    <cfRule type="expression" dxfId="72" priority="37" stopIfTrue="1">
      <formula>IF(WEEKDAY(F$5)=1,TRUE,FALSE)</formula>
    </cfRule>
  </conditionalFormatting>
  <conditionalFormatting sqref="F9:AJ10">
    <cfRule type="expression" dxfId="71" priority="36" stopIfTrue="1">
      <formula>IF(WEEKDAY(F$5)=1,TRUE,FALSE)</formula>
    </cfRule>
  </conditionalFormatting>
  <conditionalFormatting sqref="F14:AJ19">
    <cfRule type="expression" dxfId="70" priority="4" stopIfTrue="1">
      <formula>IF(WEEKDAY(F$5)=1,TRUE,FALSE)</formula>
    </cfRule>
  </conditionalFormatting>
  <conditionalFormatting sqref="F14:AJ19">
    <cfRule type="expression" dxfId="69" priority="3" stopIfTrue="1">
      <formula>IF(WEEKDAY(F$5)=1,TRUE,FALSE)</formula>
    </cfRule>
  </conditionalFormatting>
  <conditionalFormatting sqref="F11:AJ12">
    <cfRule type="expression" dxfId="68" priority="2" stopIfTrue="1">
      <formula>IF(WEEKDAY(F$5)=1,TRUE,FALSE)</formula>
    </cfRule>
  </conditionalFormatting>
  <conditionalFormatting sqref="F11:AJ12">
    <cfRule type="expression" dxfId="67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0"/>
  <sheetViews>
    <sheetView zoomScaleNormal="70" workbookViewId="0">
      <pane xSplit="3" ySplit="8" topLeftCell="G9" activePane="bottomRight" state="frozen"/>
      <selection activeCell="X10" sqref="X10"/>
      <selection pane="topRight" activeCell="X10" sqref="X10"/>
      <selection pane="bottomLeft" activeCell="X10" sqref="X10"/>
      <selection pane="bottomRight" activeCell="A10" sqref="A10:T11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78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26"/>
      <c r="B1" s="207"/>
      <c r="C1" s="207"/>
      <c r="D1" s="273" t="str">
        <f>"BẢNG THANH TOÁN LƯƠNG THÁNG"&amp;" "&amp;TEXT($E$4,"mm")&amp;" / "&amp;TEXT($E$4,"yyyy")</f>
        <v>BẢNG THANH TOÁN LƯƠNG THÁNG 03 / 2017</v>
      </c>
      <c r="E1" s="273"/>
      <c r="F1" s="273"/>
      <c r="G1" s="273"/>
      <c r="H1" s="273"/>
      <c r="I1" s="273"/>
      <c r="J1" s="273"/>
      <c r="K1" s="273"/>
      <c r="L1" s="273"/>
      <c r="M1" s="273"/>
      <c r="N1" s="273"/>
      <c r="O1" s="273"/>
      <c r="P1" s="273"/>
      <c r="Q1" s="274"/>
      <c r="R1" s="275" t="s">
        <v>79</v>
      </c>
      <c r="S1" s="276"/>
      <c r="T1" s="277"/>
      <c r="U1" s="117" t="s">
        <v>51</v>
      </c>
      <c r="V1" s="97" t="s">
        <v>33</v>
      </c>
      <c r="W1" s="70"/>
      <c r="X1" s="70"/>
      <c r="Y1" s="5"/>
      <c r="Z1" s="5"/>
    </row>
    <row r="2" spans="1:31" s="4" customFormat="1" ht="15" customHeight="1">
      <c r="A2" s="126"/>
      <c r="B2" s="207"/>
      <c r="C2" s="207"/>
      <c r="D2" s="207"/>
      <c r="E2" s="68"/>
      <c r="F2" s="207"/>
      <c r="G2" s="207"/>
      <c r="H2" s="207"/>
      <c r="I2" s="207"/>
      <c r="J2" s="69"/>
      <c r="K2" s="207"/>
      <c r="L2" s="207"/>
      <c r="M2" s="207"/>
      <c r="N2" s="207"/>
      <c r="O2" s="207"/>
      <c r="P2" s="207"/>
      <c r="Q2" s="207"/>
      <c r="R2" s="207"/>
      <c r="S2" s="207"/>
      <c r="T2" s="46"/>
      <c r="U2" s="67">
        <f>MAX(F10:F19)</f>
        <v>27</v>
      </c>
      <c r="V2" s="98">
        <v>31</v>
      </c>
      <c r="W2" s="70"/>
      <c r="X2" s="70"/>
      <c r="Y2" s="5"/>
      <c r="Z2" s="5"/>
    </row>
    <row r="3" spans="1:31" s="4" customFormat="1" ht="15" customHeight="1">
      <c r="A3" s="126"/>
      <c r="B3" s="207"/>
      <c r="C3" s="207"/>
      <c r="D3" s="207"/>
      <c r="E3" s="68"/>
      <c r="F3" s="207"/>
      <c r="G3" s="207"/>
      <c r="H3" s="207"/>
      <c r="I3" s="207"/>
      <c r="J3" s="69"/>
      <c r="K3" s="207"/>
      <c r="L3" s="207"/>
      <c r="M3" s="207"/>
      <c r="N3" s="207"/>
      <c r="O3" s="207"/>
      <c r="P3" s="207"/>
      <c r="Q3" s="207"/>
      <c r="R3" s="207"/>
      <c r="S3" s="207"/>
      <c r="T3" s="46"/>
      <c r="U3" s="118"/>
      <c r="V3" s="119"/>
      <c r="W3" s="70"/>
      <c r="X3" s="70"/>
      <c r="Y3" s="5"/>
      <c r="Z3" s="5"/>
    </row>
    <row r="4" spans="1:31" s="92" customFormat="1" ht="14.25" customHeight="1">
      <c r="A4" s="90"/>
      <c r="B4" s="91"/>
      <c r="C4" s="91"/>
      <c r="D4" s="91"/>
      <c r="E4" s="175">
        <f>'CC -3'!$E$4</f>
        <v>42795</v>
      </c>
      <c r="F4" s="91"/>
      <c r="G4" s="91"/>
      <c r="H4" s="91"/>
      <c r="I4" s="91"/>
      <c r="J4" s="91"/>
      <c r="K4" s="91"/>
      <c r="L4" s="91"/>
      <c r="M4" s="91"/>
      <c r="N4" s="148">
        <v>0.08</v>
      </c>
      <c r="O4" s="148">
        <v>1.4999999999999999E-2</v>
      </c>
      <c r="P4" s="148">
        <v>0.01</v>
      </c>
      <c r="Q4" s="91"/>
      <c r="R4" s="91"/>
      <c r="S4" s="91"/>
      <c r="T4" s="91"/>
      <c r="U4" s="91"/>
      <c r="V4" s="93"/>
      <c r="W4" s="93"/>
      <c r="X4" s="93"/>
      <c r="Y4" s="93"/>
      <c r="Z4" s="93"/>
    </row>
    <row r="5" spans="1:31" s="21" customFormat="1" ht="24" customHeight="1">
      <c r="A5" s="278" t="s">
        <v>19</v>
      </c>
      <c r="B5" s="278" t="s">
        <v>20</v>
      </c>
      <c r="C5" s="232" t="s">
        <v>1</v>
      </c>
      <c r="D5" s="232" t="s">
        <v>2</v>
      </c>
      <c r="E5" s="235" t="s">
        <v>49</v>
      </c>
      <c r="F5" s="280" t="s">
        <v>24</v>
      </c>
      <c r="G5" s="281"/>
      <c r="H5" s="281"/>
      <c r="I5" s="281"/>
      <c r="J5" s="281"/>
      <c r="K5" s="282"/>
      <c r="L5" s="269" t="s">
        <v>50</v>
      </c>
      <c r="M5" s="269" t="s">
        <v>5</v>
      </c>
      <c r="N5" s="232" t="s">
        <v>6</v>
      </c>
      <c r="O5" s="232"/>
      <c r="P5" s="232"/>
      <c r="Q5" s="269" t="s">
        <v>7</v>
      </c>
      <c r="R5" s="269" t="s">
        <v>8</v>
      </c>
      <c r="S5" s="269" t="s">
        <v>9</v>
      </c>
      <c r="T5" s="233" t="s">
        <v>10</v>
      </c>
      <c r="U5" s="91"/>
      <c r="V5" s="22"/>
      <c r="W5" s="22"/>
      <c r="X5" s="5"/>
      <c r="Y5" s="5"/>
      <c r="Z5" s="5"/>
      <c r="AA5" s="4"/>
      <c r="AB5" s="4"/>
      <c r="AC5" s="4"/>
      <c r="AD5" s="4"/>
      <c r="AE5" s="4"/>
    </row>
    <row r="6" spans="1:31" s="21" customFormat="1" ht="33.75" customHeight="1">
      <c r="A6" s="279"/>
      <c r="B6" s="279"/>
      <c r="C6" s="232"/>
      <c r="D6" s="232"/>
      <c r="E6" s="235"/>
      <c r="F6" s="280" t="s">
        <v>52</v>
      </c>
      <c r="G6" s="282"/>
      <c r="H6" s="280" t="s">
        <v>71</v>
      </c>
      <c r="I6" s="281"/>
      <c r="J6" s="267" t="s">
        <v>25</v>
      </c>
      <c r="K6" s="269" t="s">
        <v>4</v>
      </c>
      <c r="L6" s="270"/>
      <c r="M6" s="270"/>
      <c r="N6" s="271" t="s">
        <v>12</v>
      </c>
      <c r="O6" s="269" t="s">
        <v>13</v>
      </c>
      <c r="P6" s="269" t="s">
        <v>31</v>
      </c>
      <c r="Q6" s="270"/>
      <c r="R6" s="270"/>
      <c r="S6" s="270"/>
      <c r="T6" s="234"/>
      <c r="U6" s="91"/>
      <c r="V6" s="22"/>
      <c r="W6" s="22"/>
      <c r="X6" s="5"/>
      <c r="Y6" s="5"/>
      <c r="Z6" s="5"/>
      <c r="AA6" s="4"/>
      <c r="AB6" s="4"/>
      <c r="AC6" s="4"/>
      <c r="AD6" s="4"/>
      <c r="AE6" s="4"/>
    </row>
    <row r="7" spans="1:31" s="21" customFormat="1" ht="35.25" customHeight="1">
      <c r="A7" s="279"/>
      <c r="B7" s="279"/>
      <c r="C7" s="269"/>
      <c r="D7" s="269"/>
      <c r="E7" s="235"/>
      <c r="F7" s="206" t="s">
        <v>34</v>
      </c>
      <c r="G7" s="204" t="s">
        <v>18</v>
      </c>
      <c r="H7" s="206" t="s">
        <v>34</v>
      </c>
      <c r="I7" s="115" t="s">
        <v>18</v>
      </c>
      <c r="J7" s="268"/>
      <c r="K7" s="270"/>
      <c r="L7" s="283"/>
      <c r="M7" s="283"/>
      <c r="N7" s="272"/>
      <c r="O7" s="270"/>
      <c r="P7" s="270"/>
      <c r="Q7" s="270"/>
      <c r="R7" s="270"/>
      <c r="S7" s="270"/>
      <c r="T7" s="234"/>
      <c r="U7" s="91"/>
      <c r="V7" s="22"/>
      <c r="W7" s="22"/>
      <c r="X7" s="5"/>
      <c r="Y7" s="5"/>
      <c r="Z7" s="5"/>
      <c r="AA7" s="4"/>
      <c r="AB7" s="4"/>
      <c r="AC7" s="4"/>
      <c r="AD7" s="4"/>
      <c r="AE7" s="4"/>
    </row>
    <row r="8" spans="1:31" s="72" customFormat="1" ht="12.75" customHeight="1">
      <c r="A8" s="71">
        <v>1</v>
      </c>
      <c r="B8" s="71">
        <v>1</v>
      </c>
      <c r="C8" s="71">
        <v>2</v>
      </c>
      <c r="D8" s="71">
        <v>3</v>
      </c>
      <c r="E8" s="71">
        <v>4</v>
      </c>
      <c r="F8" s="71">
        <v>5</v>
      </c>
      <c r="G8" s="71">
        <v>6</v>
      </c>
      <c r="H8" s="71">
        <v>7</v>
      </c>
      <c r="I8" s="71">
        <v>8</v>
      </c>
      <c r="J8" s="71">
        <v>9</v>
      </c>
      <c r="K8" s="71">
        <v>10</v>
      </c>
      <c r="L8" s="71">
        <v>11</v>
      </c>
      <c r="M8" s="71">
        <v>12</v>
      </c>
      <c r="N8" s="71">
        <v>13</v>
      </c>
      <c r="O8" s="71">
        <v>14</v>
      </c>
      <c r="P8" s="71">
        <v>15</v>
      </c>
      <c r="Q8" s="71">
        <v>16</v>
      </c>
      <c r="R8" s="71">
        <v>17</v>
      </c>
      <c r="S8" s="71">
        <v>18</v>
      </c>
      <c r="T8" s="71">
        <v>19</v>
      </c>
      <c r="U8" s="91"/>
      <c r="V8" s="73"/>
      <c r="W8" s="73"/>
      <c r="X8" s="74"/>
      <c r="Y8" s="74"/>
      <c r="Z8" s="74"/>
      <c r="AA8" s="75"/>
      <c r="AB8" s="75"/>
      <c r="AC8" s="75"/>
      <c r="AD8" s="75"/>
      <c r="AE8" s="75"/>
    </row>
    <row r="9" spans="1:31" s="72" customFormat="1" ht="24" customHeight="1">
      <c r="A9" s="174" t="s">
        <v>68</v>
      </c>
      <c r="B9" s="173" t="s">
        <v>80</v>
      </c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2"/>
      <c r="Q9" s="172"/>
      <c r="R9" s="172"/>
      <c r="S9" s="172"/>
      <c r="T9" s="172"/>
      <c r="U9" s="91"/>
      <c r="V9" s="73"/>
      <c r="W9" s="73"/>
      <c r="X9" s="74"/>
      <c r="Y9" s="74"/>
      <c r="Z9" s="74"/>
      <c r="AA9" s="75"/>
      <c r="AB9" s="75"/>
      <c r="AC9" s="75"/>
      <c r="AD9" s="75"/>
      <c r="AE9" s="75"/>
    </row>
    <row r="10" spans="1:31" s="29" customFormat="1" ht="24" customHeight="1">
      <c r="A10" s="31">
        <v>1</v>
      </c>
      <c r="B10" s="128" t="s">
        <v>74</v>
      </c>
      <c r="C10" s="76" t="str">
        <f t="shared" ref="C10" si="0">VLOOKUP(B10,DS,2,0)</f>
        <v>Nguyễn Thị Kim Quyên</v>
      </c>
      <c r="D10" s="103" t="str">
        <f t="shared" ref="D10" si="1">VLOOKUP(B10,DS,3,0)</f>
        <v>Văn Phòng</v>
      </c>
      <c r="E10" s="77">
        <f t="shared" ref="E10" si="2">VLOOKUP(B10,DS,4,0)</f>
        <v>4000000</v>
      </c>
      <c r="F10" s="79">
        <f>VLOOKUP(B10,'CC -3'!$B$8:$AS$19,36,0)</f>
        <v>27</v>
      </c>
      <c r="G10" s="132">
        <f t="shared" ref="G10" si="3">ROUND(E10/$U$2*F10,0)</f>
        <v>4000000</v>
      </c>
      <c r="H10" s="79">
        <f>(VLOOKUP(B10,'CC -3'!$B$8:$AS$19,37,0)+VLOOKUP(B10,'CC -3'!$B$8:$AS$19,38,0))</f>
        <v>0</v>
      </c>
      <c r="I10" s="132">
        <f t="shared" ref="I10" si="4">ROUND(E10/$U$2*H10,0)</f>
        <v>0</v>
      </c>
      <c r="J10" s="80">
        <f t="shared" ref="J10" si="5">F10+H10</f>
        <v>27</v>
      </c>
      <c r="K10" s="32">
        <f>G10+I10</f>
        <v>4000000</v>
      </c>
      <c r="L10" s="77">
        <f t="shared" ref="L10" si="6">+F10*15000</f>
        <v>405000</v>
      </c>
      <c r="M10" s="33">
        <f t="shared" ref="M10" si="7">K10+L10</f>
        <v>4405000</v>
      </c>
      <c r="N10" s="33">
        <f t="shared" ref="N10:P11" si="8">IF(VLOOKUP($B10,DS,13,0)="x",$E10*N$4,0)</f>
        <v>0</v>
      </c>
      <c r="O10" s="33">
        <f t="shared" si="8"/>
        <v>0</v>
      </c>
      <c r="P10" s="33">
        <f t="shared" si="8"/>
        <v>0</v>
      </c>
      <c r="Q10" s="32">
        <f t="shared" ref="Q10" si="9">M10-SUM(N10:P10)</f>
        <v>4405000</v>
      </c>
      <c r="R10" s="32">
        <f>VLOOKUP(B10,DS,23,0)</f>
        <v>0</v>
      </c>
      <c r="S10" s="38">
        <f t="shared" ref="S10" si="10">Q10-R10</f>
        <v>4405000</v>
      </c>
      <c r="T10" s="32"/>
      <c r="U10" s="91"/>
      <c r="V10" s="30"/>
      <c r="W10" s="22"/>
      <c r="X10" s="5"/>
      <c r="Y10" s="5"/>
      <c r="Z10" s="5"/>
      <c r="AA10" s="4"/>
      <c r="AB10" s="4"/>
      <c r="AC10" s="4"/>
      <c r="AD10" s="4"/>
      <c r="AE10" s="4"/>
    </row>
    <row r="11" spans="1:31" s="29" customFormat="1" ht="24" customHeight="1">
      <c r="A11" s="31">
        <v>2</v>
      </c>
      <c r="B11" s="128" t="s">
        <v>114</v>
      </c>
      <c r="C11" s="76" t="str">
        <f t="shared" ref="C11" si="11">VLOOKUP(B11,DS,2,0)</f>
        <v>Đinh Hoàng Lợi</v>
      </c>
      <c r="D11" s="103" t="str">
        <f t="shared" ref="D11" si="12">VLOOKUP(B11,DS,3,0)</f>
        <v>Tài xế</v>
      </c>
      <c r="E11" s="77">
        <f t="shared" ref="E11" si="13">VLOOKUP(B11,DS,4,0)</f>
        <v>5000000</v>
      </c>
      <c r="F11" s="79">
        <f>VLOOKUP(B11,'CC -3'!$B$8:$AS$19,36,0)</f>
        <v>27</v>
      </c>
      <c r="G11" s="132">
        <f t="shared" ref="G11" si="14">ROUND(E11/$U$2*F11,0)</f>
        <v>5000000</v>
      </c>
      <c r="H11" s="79">
        <f>(VLOOKUP(B11,'CC -3'!$B$8:$AS$19,37,0)+VLOOKUP(B11,'CC -3'!$B$8:$AS$19,38,0))</f>
        <v>0</v>
      </c>
      <c r="I11" s="132">
        <f t="shared" ref="I11" si="15">ROUND(E11/$U$2*H11,0)</f>
        <v>0</v>
      </c>
      <c r="J11" s="80">
        <f t="shared" ref="J11" si="16">F11+H11</f>
        <v>27</v>
      </c>
      <c r="K11" s="32">
        <f>G11+I11</f>
        <v>5000000</v>
      </c>
      <c r="L11" s="77">
        <f t="shared" ref="L11" si="17">+F11*15000</f>
        <v>405000</v>
      </c>
      <c r="M11" s="33">
        <f t="shared" ref="M11" si="18">K11+L11</f>
        <v>5405000</v>
      </c>
      <c r="N11" s="33">
        <f t="shared" si="8"/>
        <v>0</v>
      </c>
      <c r="O11" s="33">
        <f t="shared" si="8"/>
        <v>0</v>
      </c>
      <c r="P11" s="33">
        <f t="shared" si="8"/>
        <v>0</v>
      </c>
      <c r="Q11" s="32">
        <f t="shared" ref="Q11" si="19">M11-SUM(N11:P11)</f>
        <v>5405000</v>
      </c>
      <c r="R11" s="32">
        <f>VLOOKUP(B11,DS,23,0)</f>
        <v>0</v>
      </c>
      <c r="S11" s="38">
        <f t="shared" ref="S11" si="20">Q11-R11</f>
        <v>5405000</v>
      </c>
      <c r="T11" s="32"/>
      <c r="U11" s="91"/>
      <c r="V11" s="30"/>
      <c r="W11" s="22"/>
      <c r="X11" s="5"/>
      <c r="Y11" s="5"/>
      <c r="Z11" s="5"/>
      <c r="AA11" s="4"/>
      <c r="AB11" s="4"/>
      <c r="AC11" s="4"/>
      <c r="AD11" s="4"/>
      <c r="AE11" s="4"/>
    </row>
    <row r="12" spans="1:31" s="29" customFormat="1" ht="24" customHeight="1">
      <c r="A12" s="31"/>
      <c r="B12" s="128"/>
      <c r="C12" s="76"/>
      <c r="D12" s="103"/>
      <c r="E12" s="77"/>
      <c r="F12" s="79"/>
      <c r="G12" s="132"/>
      <c r="H12" s="79"/>
      <c r="I12" s="132"/>
      <c r="J12" s="80"/>
      <c r="K12" s="32"/>
      <c r="L12" s="77"/>
      <c r="M12" s="33"/>
      <c r="N12" s="33"/>
      <c r="O12" s="33"/>
      <c r="P12" s="33"/>
      <c r="Q12" s="32"/>
      <c r="R12" s="32"/>
      <c r="S12" s="38"/>
      <c r="T12" s="195"/>
      <c r="U12" s="91"/>
      <c r="V12" s="30"/>
      <c r="W12" s="22"/>
      <c r="X12" s="5"/>
      <c r="Y12" s="5"/>
      <c r="Z12" s="5"/>
      <c r="AA12" s="4"/>
      <c r="AB12" s="4"/>
      <c r="AC12" s="4"/>
      <c r="AD12" s="4"/>
      <c r="AE12" s="4"/>
    </row>
    <row r="13" spans="1:31" s="25" customFormat="1" ht="21" customHeight="1">
      <c r="A13" s="221" t="s">
        <v>23</v>
      </c>
      <c r="B13" s="222"/>
      <c r="C13" s="222"/>
      <c r="D13" s="223"/>
      <c r="E13" s="127">
        <f>SUM(E9:E10)</f>
        <v>4000000</v>
      </c>
      <c r="F13" s="127"/>
      <c r="G13" s="127">
        <f>SUM(G9:G10)</f>
        <v>4000000</v>
      </c>
      <c r="H13" s="127"/>
      <c r="I13" s="127">
        <f>SUM(I9:I10)</f>
        <v>0</v>
      </c>
      <c r="J13" s="127"/>
      <c r="K13" s="127">
        <f t="shared" ref="K13:S13" si="21">SUM(K9:K10)</f>
        <v>4000000</v>
      </c>
      <c r="L13" s="127">
        <f t="shared" si="21"/>
        <v>405000</v>
      </c>
      <c r="M13" s="127">
        <f t="shared" si="21"/>
        <v>4405000</v>
      </c>
      <c r="N13" s="127">
        <f t="shared" si="21"/>
        <v>0</v>
      </c>
      <c r="O13" s="127">
        <f t="shared" si="21"/>
        <v>0</v>
      </c>
      <c r="P13" s="127">
        <f t="shared" si="21"/>
        <v>0</v>
      </c>
      <c r="Q13" s="127">
        <f t="shared" si="21"/>
        <v>4405000</v>
      </c>
      <c r="R13" s="127">
        <f t="shared" si="21"/>
        <v>0</v>
      </c>
      <c r="S13" s="127">
        <f t="shared" si="21"/>
        <v>4405000</v>
      </c>
      <c r="T13" s="20"/>
      <c r="U13" s="91"/>
      <c r="V13" s="26"/>
      <c r="W13" s="26"/>
      <c r="X13" s="26"/>
      <c r="Y13" s="26"/>
      <c r="Z13" s="26"/>
    </row>
    <row r="14" spans="1:31" s="72" customFormat="1" ht="24" customHeight="1">
      <c r="A14" s="174" t="s">
        <v>69</v>
      </c>
      <c r="B14" s="173" t="s">
        <v>70</v>
      </c>
      <c r="C14" s="172"/>
      <c r="D14" s="172"/>
      <c r="E14" s="172"/>
      <c r="F14" s="172"/>
      <c r="G14" s="172"/>
      <c r="H14" s="172"/>
      <c r="I14" s="172"/>
      <c r="J14" s="172"/>
      <c r="K14" s="172"/>
      <c r="L14" s="172"/>
      <c r="M14" s="172"/>
      <c r="N14" s="172"/>
      <c r="O14" s="172"/>
      <c r="P14" s="172"/>
      <c r="Q14" s="172"/>
      <c r="R14" s="172"/>
      <c r="S14" s="172"/>
      <c r="T14" s="172"/>
      <c r="U14" s="91"/>
      <c r="V14" s="73"/>
      <c r="W14" s="73"/>
      <c r="X14" s="74"/>
      <c r="Y14" s="74"/>
      <c r="Z14" s="74"/>
      <c r="AA14" s="75"/>
      <c r="AB14" s="75"/>
      <c r="AC14" s="75"/>
      <c r="AD14" s="75"/>
      <c r="AE14" s="75"/>
    </row>
    <row r="15" spans="1:31" s="29" customFormat="1" ht="24" customHeight="1">
      <c r="A15" s="31">
        <v>1</v>
      </c>
      <c r="B15" s="128" t="s">
        <v>75</v>
      </c>
      <c r="C15" s="76" t="str">
        <f t="shared" ref="C15" si="22">VLOOKUP(B15,DS,2,0)</f>
        <v>Lê Văn Hữu</v>
      </c>
      <c r="D15" s="103" t="str">
        <f t="shared" ref="D15" si="23">VLOOKUP(B15,DS,3,0)</f>
        <v>Công Đoạn 1</v>
      </c>
      <c r="E15" s="77">
        <f t="shared" ref="E15" si="24">VLOOKUP(B15,DS,4,0)</f>
        <v>3200000</v>
      </c>
      <c r="F15" s="79">
        <f>VLOOKUP(B15,'CC -3'!$B$8:$AS$19,36,0)</f>
        <v>27</v>
      </c>
      <c r="G15" s="132">
        <f t="shared" ref="G15" si="25">ROUND(E15/$U$2*F15,0)</f>
        <v>3200000</v>
      </c>
      <c r="H15" s="79">
        <f>(VLOOKUP(B15,'CC -3'!$B$8:$AS$19,37,0)+VLOOKUP(B15,'CC -3'!$B$8:$AS$19,38,0))</f>
        <v>0</v>
      </c>
      <c r="I15" s="132">
        <f t="shared" ref="I15" si="26">ROUND(E15/$U$2*H15,0)</f>
        <v>0</v>
      </c>
      <c r="J15" s="133">
        <f t="shared" ref="J15:K15" si="27">F15+H15</f>
        <v>27</v>
      </c>
      <c r="K15" s="32">
        <f t="shared" si="27"/>
        <v>3200000</v>
      </c>
      <c r="L15" s="77">
        <f t="shared" ref="L15" si="28">+F15*15000</f>
        <v>405000</v>
      </c>
      <c r="M15" s="33">
        <f t="shared" ref="M15" si="29">K15+L15</f>
        <v>3605000</v>
      </c>
      <c r="N15" s="33">
        <f t="shared" ref="N15:P17" si="30">IF(VLOOKUP($B15,DS,13,0)="x",$E15*N$4,0)</f>
        <v>0</v>
      </c>
      <c r="O15" s="33">
        <f t="shared" si="30"/>
        <v>0</v>
      </c>
      <c r="P15" s="33">
        <f t="shared" si="30"/>
        <v>0</v>
      </c>
      <c r="Q15" s="32">
        <f>M15-SUM(N15:P15)</f>
        <v>3605000</v>
      </c>
      <c r="R15" s="32">
        <f t="shared" ref="R15" si="31">VLOOKUP(B15,DS,23,0)</f>
        <v>0</v>
      </c>
      <c r="S15" s="38">
        <f>Q15-R15</f>
        <v>3605000</v>
      </c>
      <c r="T15" s="32"/>
      <c r="U15" s="91"/>
      <c r="V15" s="30"/>
      <c r="W15" s="22"/>
      <c r="X15" s="5"/>
      <c r="Y15" s="5"/>
      <c r="Z15" s="5"/>
      <c r="AA15" s="4"/>
      <c r="AB15" s="4"/>
      <c r="AC15" s="4"/>
      <c r="AD15" s="4"/>
      <c r="AE15" s="4"/>
    </row>
    <row r="16" spans="1:31" s="29" customFormat="1" ht="24" customHeight="1">
      <c r="A16" s="31">
        <v>2</v>
      </c>
      <c r="B16" s="128" t="s">
        <v>76</v>
      </c>
      <c r="C16" s="76" t="str">
        <f t="shared" ref="C16:C17" si="32">VLOOKUP(B16,DS,2,0)</f>
        <v>Lý Thanh Hải</v>
      </c>
      <c r="D16" s="103" t="str">
        <f t="shared" ref="D16:D17" si="33">VLOOKUP(B16,DS,3,0)</f>
        <v>Công Đoạn 1</v>
      </c>
      <c r="E16" s="77">
        <f t="shared" ref="E16:E17" si="34">VLOOKUP(B16,DS,4,0)</f>
        <v>5000000</v>
      </c>
      <c r="F16" s="79">
        <f>VLOOKUP(B16,'CC -3'!$B$8:$AS$19,36,0)</f>
        <v>27</v>
      </c>
      <c r="G16" s="132">
        <f t="shared" ref="G16:G17" si="35">ROUND(E16/$U$2*F16,0)</f>
        <v>5000000</v>
      </c>
      <c r="H16" s="79">
        <f>(VLOOKUP(B16,'CC -3'!$B$8:$AS$19,37,0)+VLOOKUP(B16,'CC -3'!$B$8:$AS$19,38,0))</f>
        <v>0</v>
      </c>
      <c r="I16" s="132">
        <f t="shared" ref="I16:I17" si="36">ROUND(E16/$U$2*H16,0)</f>
        <v>0</v>
      </c>
      <c r="J16" s="133">
        <f t="shared" ref="J16:J17" si="37">F16+H16</f>
        <v>27</v>
      </c>
      <c r="K16" s="32">
        <f t="shared" ref="K16:K17" si="38">G16+I16</f>
        <v>5000000</v>
      </c>
      <c r="L16" s="77">
        <f t="shared" ref="L16:L17" si="39">+F16*15000</f>
        <v>405000</v>
      </c>
      <c r="M16" s="33">
        <f t="shared" ref="M16:M17" si="40">K16+L16</f>
        <v>5405000</v>
      </c>
      <c r="N16" s="33">
        <f t="shared" si="30"/>
        <v>0</v>
      </c>
      <c r="O16" s="33">
        <f t="shared" si="30"/>
        <v>0</v>
      </c>
      <c r="P16" s="33">
        <f t="shared" si="30"/>
        <v>0</v>
      </c>
      <c r="Q16" s="32">
        <f t="shared" ref="Q16:Q17" si="41">M16-SUM(N16:P16)</f>
        <v>5405000</v>
      </c>
      <c r="R16" s="32">
        <f t="shared" ref="R16:R17" si="42">VLOOKUP(B16,DS,23,0)</f>
        <v>0</v>
      </c>
      <c r="S16" s="38">
        <f t="shared" ref="S16:S17" si="43">Q16-R16</f>
        <v>5405000</v>
      </c>
      <c r="T16" s="32"/>
      <c r="U16" s="91"/>
      <c r="V16" s="30"/>
      <c r="W16" s="22"/>
      <c r="X16" s="5"/>
      <c r="Y16" s="5"/>
      <c r="Z16" s="5"/>
      <c r="AA16" s="4"/>
      <c r="AB16" s="4"/>
      <c r="AC16" s="4"/>
      <c r="AD16" s="4"/>
      <c r="AE16" s="4"/>
    </row>
    <row r="17" spans="1:31" s="29" customFormat="1" ht="24" customHeight="1">
      <c r="A17" s="31">
        <v>3</v>
      </c>
      <c r="B17" s="128" t="s">
        <v>77</v>
      </c>
      <c r="C17" s="76" t="str">
        <f t="shared" si="32"/>
        <v>Cao Minh Chí</v>
      </c>
      <c r="D17" s="103" t="str">
        <f t="shared" si="33"/>
        <v>Công Đoạn 2</v>
      </c>
      <c r="E17" s="77">
        <f t="shared" si="34"/>
        <v>3200000</v>
      </c>
      <c r="F17" s="79">
        <f>VLOOKUP(B17,'CC -3'!$B$8:$AS$19,36,0)</f>
        <v>27</v>
      </c>
      <c r="G17" s="132">
        <f t="shared" si="35"/>
        <v>3200000</v>
      </c>
      <c r="H17" s="79">
        <f>(VLOOKUP(B17,'CC -3'!$B$8:$AS$19,37,0)+VLOOKUP(B17,'CC -3'!$B$8:$AS$19,38,0))</f>
        <v>0</v>
      </c>
      <c r="I17" s="132">
        <f t="shared" si="36"/>
        <v>0</v>
      </c>
      <c r="J17" s="133">
        <f t="shared" si="37"/>
        <v>27</v>
      </c>
      <c r="K17" s="32">
        <f t="shared" si="38"/>
        <v>3200000</v>
      </c>
      <c r="L17" s="77">
        <f t="shared" si="39"/>
        <v>405000</v>
      </c>
      <c r="M17" s="33">
        <f t="shared" si="40"/>
        <v>3605000</v>
      </c>
      <c r="N17" s="33">
        <f t="shared" si="30"/>
        <v>0</v>
      </c>
      <c r="O17" s="33">
        <f t="shared" si="30"/>
        <v>0</v>
      </c>
      <c r="P17" s="33">
        <f t="shared" si="30"/>
        <v>0</v>
      </c>
      <c r="Q17" s="32">
        <f t="shared" si="41"/>
        <v>3605000</v>
      </c>
      <c r="R17" s="32">
        <f t="shared" si="42"/>
        <v>0</v>
      </c>
      <c r="S17" s="38">
        <f t="shared" si="43"/>
        <v>3605000</v>
      </c>
      <c r="T17" s="32"/>
      <c r="U17" s="91"/>
      <c r="V17" s="30"/>
      <c r="W17" s="22"/>
      <c r="X17" s="5"/>
      <c r="Y17" s="5"/>
      <c r="Z17" s="5"/>
      <c r="AA17" s="4"/>
      <c r="AB17" s="4"/>
      <c r="AC17" s="4"/>
      <c r="AD17" s="4"/>
      <c r="AE17" s="4"/>
    </row>
    <row r="18" spans="1:31" s="29" customFormat="1" ht="22.5" customHeight="1">
      <c r="A18" s="34"/>
      <c r="B18" s="171"/>
      <c r="C18" s="35"/>
      <c r="D18" s="3"/>
      <c r="E18" s="36"/>
      <c r="F18" s="36"/>
      <c r="G18" s="36"/>
      <c r="H18" s="36"/>
      <c r="I18" s="36"/>
      <c r="J18" s="37"/>
      <c r="K18" s="36"/>
      <c r="L18" s="36"/>
      <c r="M18" s="170"/>
      <c r="N18" s="36"/>
      <c r="O18" s="36"/>
      <c r="P18" s="36"/>
      <c r="Q18" s="36"/>
      <c r="R18" s="36"/>
      <c r="S18" s="36"/>
      <c r="T18" s="32"/>
      <c r="U18" s="91"/>
      <c r="V18" s="30"/>
      <c r="W18" s="30"/>
      <c r="X18" s="30"/>
      <c r="Y18" s="30"/>
      <c r="Z18" s="30"/>
    </row>
    <row r="19" spans="1:31" s="25" customFormat="1" ht="21" customHeight="1">
      <c r="A19" s="221" t="s">
        <v>23</v>
      </c>
      <c r="B19" s="222"/>
      <c r="C19" s="222"/>
      <c r="D19" s="223"/>
      <c r="E19" s="127">
        <f>SUM(E14:E18)</f>
        <v>11400000</v>
      </c>
      <c r="F19" s="127"/>
      <c r="G19" s="127">
        <f>SUM(G14:G18)</f>
        <v>11400000</v>
      </c>
      <c r="H19" s="127"/>
      <c r="I19" s="127">
        <f>SUM(I14:I18)</f>
        <v>0</v>
      </c>
      <c r="J19" s="127"/>
      <c r="K19" s="127">
        <f t="shared" ref="K19:S19" si="44">SUM(K14:K18)</f>
        <v>11400000</v>
      </c>
      <c r="L19" s="127">
        <f t="shared" si="44"/>
        <v>1215000</v>
      </c>
      <c r="M19" s="127">
        <f t="shared" si="44"/>
        <v>12615000</v>
      </c>
      <c r="N19" s="127">
        <f t="shared" si="44"/>
        <v>0</v>
      </c>
      <c r="O19" s="127">
        <f t="shared" si="44"/>
        <v>0</v>
      </c>
      <c r="P19" s="127">
        <f t="shared" si="44"/>
        <v>0</v>
      </c>
      <c r="Q19" s="127">
        <f t="shared" si="44"/>
        <v>12615000</v>
      </c>
      <c r="R19" s="127">
        <f t="shared" si="44"/>
        <v>0</v>
      </c>
      <c r="S19" s="127">
        <f t="shared" si="44"/>
        <v>12615000</v>
      </c>
      <c r="T19" s="20"/>
      <c r="U19" s="91"/>
      <c r="V19" s="26"/>
      <c r="W19" s="26"/>
      <c r="X19" s="26"/>
      <c r="Y19" s="26"/>
      <c r="Z19" s="26"/>
    </row>
    <row r="20" spans="1:31" ht="11.25" customHeight="1">
      <c r="A20" s="8"/>
      <c r="B20" s="8"/>
      <c r="C20" s="9"/>
      <c r="D20" s="104"/>
      <c r="E20" s="81"/>
      <c r="F20" s="9"/>
      <c r="G20" s="9"/>
      <c r="H20" s="9"/>
      <c r="I20" s="9"/>
      <c r="K20" s="9"/>
      <c r="L20" s="9"/>
      <c r="M20" s="89"/>
      <c r="N20" s="9"/>
      <c r="O20" s="9"/>
      <c r="P20" s="9"/>
      <c r="Q20" s="9"/>
      <c r="R20" s="9"/>
      <c r="S20" s="9"/>
      <c r="T20" s="9"/>
      <c r="U20" s="91"/>
    </row>
    <row r="21" spans="1:31" s="29" customFormat="1" ht="11.25" customHeight="1">
      <c r="A21" s="65"/>
      <c r="B21" s="65"/>
      <c r="C21" s="65"/>
      <c r="D21" s="120"/>
      <c r="E21" s="121"/>
      <c r="F21" s="65"/>
      <c r="G21" s="65"/>
      <c r="H21" s="65"/>
      <c r="I21" s="65"/>
      <c r="J21" s="122"/>
      <c r="K21" s="121"/>
      <c r="L21" s="65"/>
      <c r="M21" s="65"/>
      <c r="N21" s="65"/>
      <c r="O21" s="65"/>
      <c r="P21" s="65"/>
      <c r="Q21" s="65"/>
      <c r="R21" s="65"/>
      <c r="S21" s="95" t="str">
        <f>"Bình Chánh, ngày  "&amp;$V$2&amp;"   tháng   "&amp;TEXT(E4,"mm")&amp;"   năm "&amp;TEXT(E4,"yyyy")</f>
        <v>Bình Chánh, ngày  31   tháng   03   năm 2017</v>
      </c>
      <c r="T21" s="65"/>
      <c r="U21" s="123"/>
      <c r="V21" s="30"/>
      <c r="W21" s="30"/>
      <c r="X21" s="30"/>
      <c r="Y21" s="30"/>
      <c r="Z21" s="30"/>
    </row>
    <row r="22" spans="1:31" s="29" customFormat="1" ht="12.75">
      <c r="A22" s="23"/>
      <c r="B22" s="23"/>
      <c r="C22" s="23" t="s">
        <v>53</v>
      </c>
      <c r="D22" s="124"/>
      <c r="E22" s="66"/>
      <c r="F22" s="123"/>
      <c r="G22" s="66"/>
      <c r="H22" s="66"/>
      <c r="I22" s="66"/>
      <c r="J22" s="125"/>
      <c r="K22" s="30"/>
      <c r="L22" s="23"/>
      <c r="M22" s="134"/>
      <c r="N22" s="19"/>
      <c r="O22" s="19"/>
      <c r="P22" s="19"/>
      <c r="Q22" s="19"/>
      <c r="S22" s="123" t="s">
        <v>21</v>
      </c>
      <c r="T22" s="123"/>
      <c r="U22" s="123"/>
      <c r="V22" s="30"/>
      <c r="W22" s="30"/>
      <c r="X22" s="30"/>
      <c r="Y22" s="30"/>
      <c r="Z22" s="30"/>
    </row>
    <row r="23" spans="1:31" ht="12">
      <c r="A23" s="8"/>
      <c r="B23" s="8"/>
      <c r="C23" s="15"/>
      <c r="E23" s="13"/>
      <c r="F23" s="12"/>
      <c r="G23" s="13"/>
      <c r="H23" s="13"/>
      <c r="I23" s="13"/>
      <c r="K23" s="7"/>
      <c r="L23" s="15"/>
      <c r="N23" s="11"/>
      <c r="O23" s="11"/>
      <c r="P23" s="11"/>
      <c r="Q23" s="11"/>
      <c r="S23" s="11"/>
      <c r="T23" s="12"/>
      <c r="U23" s="91"/>
    </row>
    <row r="24" spans="1:31" ht="12">
      <c r="C24" s="15"/>
      <c r="L24" s="15"/>
      <c r="T24" s="15"/>
      <c r="U24" s="91"/>
    </row>
    <row r="25" spans="1:31" ht="12">
      <c r="U25" s="91"/>
    </row>
    <row r="26" spans="1:31" ht="12">
      <c r="U26" s="91"/>
    </row>
    <row r="27" spans="1:31" ht="12">
      <c r="U27" s="91"/>
    </row>
    <row r="28" spans="1:31" ht="12">
      <c r="U28" s="91"/>
    </row>
    <row r="29" spans="1:31" ht="12">
      <c r="U29" s="91"/>
    </row>
    <row r="30" spans="1:31" ht="12">
      <c r="U30" s="91"/>
    </row>
  </sheetData>
  <protectedRanges>
    <protectedRange password="CC78" sqref="V18:IK19 C5:D7 B22:C22 V5:W9 A18:A23 B18:B21 B23 V14:W14 Q5:T7 E5:I6 N5:P6 L5 L22 J6:K7 L7 A25:T58 U31:U58 N18:S18 V25:IK58 J18:L18 A59:IK65326 AF14:IK14 V13:IK13 D13:T13 D19:T19 W10:W12 AF5:IK12 A10:B13 Q10:S12" name="Range1"/>
    <protectedRange password="CC78" sqref="F7:H7" name="Range1_4"/>
    <protectedRange password="CC78" sqref="V22:IK23 S22:T23 N22:Q23 E22:I23" name="Range1_1_1"/>
    <protectedRange password="CC78" sqref="U1 W1:IK3 V4:IK4 B4:T4 R2:S3 B1:Q3 U18:U30 X14:AE14 U4:U14 X5:AE12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5:W17 A15:B17 AF15:IK17 Q15:S17" name="Range1_5"/>
    <protectedRange password="CC78" sqref="X15:AE17 U15:U17" name="Range1_2_3"/>
    <protectedRange password="CC78" sqref="V15:V17" name="Range1_1_3"/>
    <protectedRange password="CC78" sqref="K15:K17 K10:K12" name="Range1_6"/>
    <protectedRange password="CC78" sqref="A2:A3" name="Range1_2_1_3"/>
    <protectedRange password="CC78" sqref="U2" name="Range1_2_2_1_1"/>
  </protectedRanges>
  <autoFilter ref="A7:AE10"/>
  <mergeCells count="22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X10" sqref="X10"/>
      <selection pane="topRight" activeCell="X10" sqref="X10"/>
      <selection pane="bottomLeft" activeCell="X10" sqref="X10"/>
      <selection pane="bottomRight" activeCell="A9" sqref="A9:B12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03" customWidth="1"/>
    <col min="5" max="5" width="7.140625" style="2" customWidth="1"/>
    <col min="6" max="33" width="3.42578125" style="110" customWidth="1"/>
    <col min="34" max="35" width="3.42578125" style="111" customWidth="1"/>
    <col min="36" max="37" width="4.42578125" style="2" customWidth="1"/>
    <col min="38" max="38" width="5.5703125" style="87" customWidth="1"/>
    <col min="39" max="39" width="6.140625" style="2" customWidth="1"/>
    <col min="40" max="42" width="5" style="2" hidden="1" customWidth="1"/>
    <col min="43" max="43" width="5" style="2" customWidth="1"/>
    <col min="44" max="44" width="11.7109375" style="2" customWidth="1"/>
    <col min="45" max="45" width="9.85546875" style="2" customWidth="1"/>
    <col min="46" max="46" width="3.7109375" style="2" customWidth="1"/>
    <col min="47" max="47" width="8.5703125" style="2" customWidth="1"/>
    <col min="48" max="16384" width="3.7109375" style="2"/>
  </cols>
  <sheetData>
    <row r="1" spans="1:90" ht="37.5" customHeight="1">
      <c r="A1" s="126"/>
      <c r="B1" s="41"/>
      <c r="C1" s="41"/>
      <c r="D1" s="45"/>
      <c r="E1" s="41"/>
      <c r="F1" s="45"/>
      <c r="G1" s="45"/>
      <c r="H1" s="45"/>
      <c r="I1" s="45"/>
      <c r="J1" s="45"/>
      <c r="K1" s="106"/>
      <c r="L1" s="106"/>
      <c r="M1" s="106"/>
      <c r="N1" s="106"/>
      <c r="O1" s="106"/>
      <c r="P1" s="106"/>
      <c r="Q1" s="106"/>
      <c r="R1" s="106"/>
      <c r="S1" s="43" t="str">
        <f>CONCATENATE("BẢNG CHẤM CÔNG THÁNG ",TEXT($E$4,"mm")," NĂM ",TEXT($E$4,"yyyy"))</f>
        <v>BẢNG CHẤM CÔNG THÁNG 04 NĂM 2017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42"/>
      <c r="AK1" s="42"/>
      <c r="AL1" s="259" t="s">
        <v>79</v>
      </c>
      <c r="AM1" s="260"/>
      <c r="AN1" s="260"/>
      <c r="AO1" s="260"/>
      <c r="AP1" s="260"/>
      <c r="AQ1" s="260"/>
      <c r="AR1" s="261"/>
      <c r="AS1" s="44"/>
    </row>
    <row r="2" spans="1:90" ht="20.25">
      <c r="A2" s="126"/>
      <c r="B2" s="45"/>
      <c r="C2" s="45"/>
      <c r="D2" s="45"/>
      <c r="E2" s="45"/>
      <c r="F2" s="45"/>
      <c r="G2" s="45"/>
      <c r="H2" s="45"/>
      <c r="I2" s="45"/>
      <c r="J2" s="45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42"/>
      <c r="AK2" s="42"/>
      <c r="AL2" s="83"/>
      <c r="AM2" s="46"/>
      <c r="AN2" s="46"/>
      <c r="AO2" s="46"/>
      <c r="AP2" s="46"/>
      <c r="AQ2" s="46"/>
      <c r="AR2" s="82"/>
      <c r="AS2" s="82"/>
    </row>
    <row r="3" spans="1:90" ht="21" customHeight="1">
      <c r="A3" s="126"/>
      <c r="B3" s="47"/>
      <c r="C3" s="47"/>
      <c r="D3" s="48"/>
      <c r="E3" s="48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42"/>
      <c r="AK3" s="42"/>
      <c r="AL3" s="83"/>
      <c r="AM3" s="44"/>
      <c r="AN3" s="44"/>
      <c r="AO3" s="44"/>
      <c r="AP3" s="44"/>
      <c r="AQ3" s="44"/>
      <c r="AR3" s="49"/>
      <c r="AS3" s="49"/>
    </row>
    <row r="4" spans="1:90" ht="14.25" customHeight="1">
      <c r="A4" s="50"/>
      <c r="B4" s="50"/>
      <c r="C4" s="142"/>
      <c r="D4" s="141"/>
      <c r="E4" s="51">
        <v>42826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3"/>
      <c r="AI4" s="53"/>
      <c r="AJ4" s="50"/>
      <c r="AK4" s="50"/>
      <c r="AL4" s="84"/>
      <c r="AM4" s="50"/>
      <c r="AN4" s="50"/>
      <c r="AO4" s="50"/>
      <c r="AP4" s="50"/>
      <c r="AQ4" s="50"/>
      <c r="AR4" s="50"/>
      <c r="AS4" s="88"/>
    </row>
    <row r="5" spans="1:90" s="54" customFormat="1" ht="18.75" customHeight="1">
      <c r="A5" s="256" t="s">
        <v>26</v>
      </c>
      <c r="B5" s="256" t="s">
        <v>3</v>
      </c>
      <c r="C5" s="256" t="s">
        <v>1</v>
      </c>
      <c r="D5" s="258" t="s">
        <v>27</v>
      </c>
      <c r="E5" s="256" t="s">
        <v>28</v>
      </c>
      <c r="F5" s="105">
        <f>+E4</f>
        <v>42826</v>
      </c>
      <c r="G5" s="105">
        <f t="shared" ref="G5:AI5" si="0">F5+1</f>
        <v>42827</v>
      </c>
      <c r="H5" s="105">
        <f t="shared" si="0"/>
        <v>42828</v>
      </c>
      <c r="I5" s="105">
        <f t="shared" si="0"/>
        <v>42829</v>
      </c>
      <c r="J5" s="105">
        <f t="shared" si="0"/>
        <v>42830</v>
      </c>
      <c r="K5" s="105">
        <f t="shared" si="0"/>
        <v>42831</v>
      </c>
      <c r="L5" s="105">
        <f t="shared" si="0"/>
        <v>42832</v>
      </c>
      <c r="M5" s="105">
        <f t="shared" si="0"/>
        <v>42833</v>
      </c>
      <c r="N5" s="105">
        <f t="shared" si="0"/>
        <v>42834</v>
      </c>
      <c r="O5" s="105">
        <f t="shared" si="0"/>
        <v>42835</v>
      </c>
      <c r="P5" s="105">
        <f t="shared" si="0"/>
        <v>42836</v>
      </c>
      <c r="Q5" s="105">
        <f t="shared" si="0"/>
        <v>42837</v>
      </c>
      <c r="R5" s="105">
        <f t="shared" si="0"/>
        <v>42838</v>
      </c>
      <c r="S5" s="105">
        <f t="shared" si="0"/>
        <v>42839</v>
      </c>
      <c r="T5" s="105">
        <f t="shared" si="0"/>
        <v>42840</v>
      </c>
      <c r="U5" s="105">
        <f t="shared" si="0"/>
        <v>42841</v>
      </c>
      <c r="V5" s="105">
        <f t="shared" si="0"/>
        <v>42842</v>
      </c>
      <c r="W5" s="105">
        <f t="shared" si="0"/>
        <v>42843</v>
      </c>
      <c r="X5" s="105">
        <f t="shared" si="0"/>
        <v>42844</v>
      </c>
      <c r="Y5" s="105">
        <f t="shared" si="0"/>
        <v>42845</v>
      </c>
      <c r="Z5" s="105">
        <f t="shared" si="0"/>
        <v>42846</v>
      </c>
      <c r="AA5" s="105">
        <f t="shared" si="0"/>
        <v>42847</v>
      </c>
      <c r="AB5" s="105">
        <f t="shared" si="0"/>
        <v>42848</v>
      </c>
      <c r="AC5" s="105">
        <f t="shared" si="0"/>
        <v>42849</v>
      </c>
      <c r="AD5" s="105">
        <f t="shared" si="0"/>
        <v>42850</v>
      </c>
      <c r="AE5" s="105">
        <f t="shared" si="0"/>
        <v>42851</v>
      </c>
      <c r="AF5" s="105">
        <f t="shared" si="0"/>
        <v>42852</v>
      </c>
      <c r="AG5" s="105">
        <f t="shared" si="0"/>
        <v>42853</v>
      </c>
      <c r="AH5" s="105">
        <f>AG5+1</f>
        <v>42854</v>
      </c>
      <c r="AI5" s="105">
        <f t="shared" si="0"/>
        <v>42855</v>
      </c>
      <c r="AJ5" s="262" t="s">
        <v>15</v>
      </c>
      <c r="AK5" s="263"/>
      <c r="AL5" s="264"/>
      <c r="AM5" s="265" t="s">
        <v>39</v>
      </c>
      <c r="AN5" s="265" t="s">
        <v>35</v>
      </c>
      <c r="AO5" s="265" t="s">
        <v>36</v>
      </c>
      <c r="AP5" s="265" t="s">
        <v>37</v>
      </c>
      <c r="AQ5" s="265" t="s">
        <v>38</v>
      </c>
      <c r="AR5" s="258" t="s">
        <v>0</v>
      </c>
      <c r="AS5" s="255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</row>
    <row r="6" spans="1:90" s="54" customFormat="1" ht="39.75" customHeight="1">
      <c r="A6" s="257"/>
      <c r="B6" s="257"/>
      <c r="C6" s="257"/>
      <c r="D6" s="257"/>
      <c r="E6" s="257"/>
      <c r="F6" s="160" t="str">
        <f>CHOOSE(WEEKDAY(F5),"C.Nhật","T.Hai","T.Ba","T.Tư","T.Năm","T.Sáu","T.Bảy")</f>
        <v>T.Bảy</v>
      </c>
      <c r="G6" s="160" t="str">
        <f t="shared" ref="G6:AI6" si="1">CHOOSE(WEEKDAY(G5),"C.Nhật","T.Hai","T.Ba","T.Tư","T.Năm","T.Sáu","T.Bảy")</f>
        <v>C.Nhật</v>
      </c>
      <c r="H6" s="160" t="str">
        <f t="shared" si="1"/>
        <v>T.Hai</v>
      </c>
      <c r="I6" s="160" t="str">
        <f t="shared" si="1"/>
        <v>T.Ba</v>
      </c>
      <c r="J6" s="160" t="str">
        <f t="shared" si="1"/>
        <v>T.Tư</v>
      </c>
      <c r="K6" s="160" t="str">
        <f t="shared" si="1"/>
        <v>T.Năm</v>
      </c>
      <c r="L6" s="160" t="str">
        <f t="shared" si="1"/>
        <v>T.Sáu</v>
      </c>
      <c r="M6" s="160" t="str">
        <f t="shared" si="1"/>
        <v>T.Bảy</v>
      </c>
      <c r="N6" s="160" t="str">
        <f t="shared" si="1"/>
        <v>C.Nhật</v>
      </c>
      <c r="O6" s="160" t="str">
        <f t="shared" si="1"/>
        <v>T.Hai</v>
      </c>
      <c r="P6" s="160" t="str">
        <f t="shared" si="1"/>
        <v>T.Ba</v>
      </c>
      <c r="Q6" s="160" t="str">
        <f t="shared" si="1"/>
        <v>T.Tư</v>
      </c>
      <c r="R6" s="160" t="str">
        <f t="shared" si="1"/>
        <v>T.Năm</v>
      </c>
      <c r="S6" s="160" t="str">
        <f t="shared" si="1"/>
        <v>T.Sáu</v>
      </c>
      <c r="T6" s="160" t="str">
        <f t="shared" si="1"/>
        <v>T.Bảy</v>
      </c>
      <c r="U6" s="160" t="str">
        <f t="shared" si="1"/>
        <v>C.Nhật</v>
      </c>
      <c r="V6" s="160" t="str">
        <f t="shared" si="1"/>
        <v>T.Hai</v>
      </c>
      <c r="W6" s="160" t="str">
        <f t="shared" si="1"/>
        <v>T.Ba</v>
      </c>
      <c r="X6" s="160" t="str">
        <f t="shared" si="1"/>
        <v>T.Tư</v>
      </c>
      <c r="Y6" s="160" t="str">
        <f t="shared" si="1"/>
        <v>T.Năm</v>
      </c>
      <c r="Z6" s="160" t="str">
        <f t="shared" si="1"/>
        <v>T.Sáu</v>
      </c>
      <c r="AA6" s="160" t="str">
        <f t="shared" si="1"/>
        <v>T.Bảy</v>
      </c>
      <c r="AB6" s="160" t="str">
        <f t="shared" si="1"/>
        <v>C.Nhật</v>
      </c>
      <c r="AC6" s="160" t="str">
        <f t="shared" si="1"/>
        <v>T.Hai</v>
      </c>
      <c r="AD6" s="160" t="str">
        <f t="shared" si="1"/>
        <v>T.Ba</v>
      </c>
      <c r="AE6" s="160" t="str">
        <f t="shared" si="1"/>
        <v>T.Tư</v>
      </c>
      <c r="AF6" s="160" t="str">
        <f t="shared" si="1"/>
        <v>T.Năm</v>
      </c>
      <c r="AG6" s="160" t="str">
        <f t="shared" si="1"/>
        <v>T.Sáu</v>
      </c>
      <c r="AH6" s="160" t="str">
        <f t="shared" si="1"/>
        <v>T.Bảy</v>
      </c>
      <c r="AI6" s="160" t="str">
        <f t="shared" si="1"/>
        <v>C.Nhật</v>
      </c>
      <c r="AJ6" s="161" t="s">
        <v>16</v>
      </c>
      <c r="AK6" s="161" t="s">
        <v>29</v>
      </c>
      <c r="AL6" s="162" t="s">
        <v>17</v>
      </c>
      <c r="AM6" s="266"/>
      <c r="AN6" s="266"/>
      <c r="AO6" s="266"/>
      <c r="AP6" s="266"/>
      <c r="AQ6" s="266"/>
      <c r="AR6" s="257"/>
      <c r="AS6" s="255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</row>
    <row r="7" spans="1:90" s="54" customFormat="1" ht="12.75" customHeight="1">
      <c r="A7" s="163">
        <v>1</v>
      </c>
      <c r="B7" s="163">
        <v>1</v>
      </c>
      <c r="C7" s="163">
        <v>2</v>
      </c>
      <c r="D7" s="163">
        <v>3</v>
      </c>
      <c r="E7" s="163">
        <v>4</v>
      </c>
      <c r="F7" s="163">
        <v>5</v>
      </c>
      <c r="G7" s="163">
        <v>6</v>
      </c>
      <c r="H7" s="163">
        <v>7</v>
      </c>
      <c r="I7" s="163">
        <v>8</v>
      </c>
      <c r="J7" s="163">
        <v>9</v>
      </c>
      <c r="K7" s="163">
        <v>10</v>
      </c>
      <c r="L7" s="163">
        <v>11</v>
      </c>
      <c r="M7" s="163">
        <v>12</v>
      </c>
      <c r="N7" s="163">
        <v>13</v>
      </c>
      <c r="O7" s="163">
        <v>14</v>
      </c>
      <c r="P7" s="163">
        <v>15</v>
      </c>
      <c r="Q7" s="163">
        <v>16</v>
      </c>
      <c r="R7" s="163">
        <v>17</v>
      </c>
      <c r="S7" s="163">
        <v>18</v>
      </c>
      <c r="T7" s="163">
        <v>19</v>
      </c>
      <c r="U7" s="163">
        <v>20</v>
      </c>
      <c r="V7" s="163">
        <v>21</v>
      </c>
      <c r="W7" s="163">
        <v>22</v>
      </c>
      <c r="X7" s="163">
        <v>23</v>
      </c>
      <c r="Y7" s="163">
        <v>24</v>
      </c>
      <c r="Z7" s="163">
        <v>25</v>
      </c>
      <c r="AA7" s="163">
        <v>26</v>
      </c>
      <c r="AB7" s="163">
        <v>27</v>
      </c>
      <c r="AC7" s="163">
        <v>28</v>
      </c>
      <c r="AD7" s="163">
        <v>29</v>
      </c>
      <c r="AE7" s="163">
        <v>30</v>
      </c>
      <c r="AF7" s="163">
        <v>31</v>
      </c>
      <c r="AG7" s="163">
        <v>32</v>
      </c>
      <c r="AH7" s="163">
        <v>33</v>
      </c>
      <c r="AI7" s="163">
        <v>34</v>
      </c>
      <c r="AJ7" s="163">
        <v>36</v>
      </c>
      <c r="AK7" s="163">
        <v>37</v>
      </c>
      <c r="AL7" s="163">
        <v>38</v>
      </c>
      <c r="AM7" s="163">
        <v>39</v>
      </c>
      <c r="AN7" s="163">
        <v>40</v>
      </c>
      <c r="AO7" s="163">
        <v>41</v>
      </c>
      <c r="AP7" s="163">
        <v>42</v>
      </c>
      <c r="AQ7" s="163">
        <v>43</v>
      </c>
      <c r="AR7" s="163">
        <v>44</v>
      </c>
      <c r="AS7" s="205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</row>
    <row r="8" spans="1:90" s="166" customFormat="1" ht="21" customHeight="1">
      <c r="A8" s="164" t="s">
        <v>68</v>
      </c>
      <c r="B8" s="167" t="s">
        <v>78</v>
      </c>
      <c r="C8" s="168"/>
      <c r="D8" s="168"/>
      <c r="E8" s="168"/>
      <c r="F8" s="168"/>
      <c r="G8" s="168"/>
      <c r="H8" s="168"/>
      <c r="I8" s="168"/>
      <c r="J8" s="168"/>
      <c r="K8" s="168"/>
      <c r="L8" s="168"/>
      <c r="M8" s="168"/>
      <c r="N8" s="168"/>
      <c r="O8" s="168"/>
      <c r="P8" s="168"/>
      <c r="Q8" s="168"/>
      <c r="R8" s="168"/>
      <c r="S8" s="168"/>
      <c r="T8" s="168"/>
      <c r="U8" s="168"/>
      <c r="V8" s="168"/>
      <c r="W8" s="168"/>
      <c r="X8" s="168"/>
      <c r="Y8" s="168"/>
      <c r="Z8" s="168"/>
      <c r="AA8" s="168"/>
      <c r="AB8" s="168"/>
      <c r="AC8" s="168"/>
      <c r="AD8" s="168"/>
      <c r="AE8" s="168"/>
      <c r="AF8" s="168"/>
      <c r="AG8" s="168"/>
      <c r="AH8" s="168"/>
      <c r="AI8" s="168"/>
      <c r="AJ8" s="168"/>
      <c r="AK8" s="168"/>
      <c r="AL8" s="168"/>
      <c r="AM8" s="168"/>
      <c r="AN8" s="168"/>
      <c r="AO8" s="168"/>
      <c r="AP8" s="168"/>
      <c r="AQ8" s="168"/>
      <c r="AR8" s="169"/>
      <c r="AS8" s="165"/>
    </row>
    <row r="9" spans="1:90" s="54" customFormat="1" ht="18" customHeight="1">
      <c r="A9" s="249">
        <v>1</v>
      </c>
      <c r="B9" s="249" t="s">
        <v>74</v>
      </c>
      <c r="C9" s="251" t="str">
        <f>VLOOKUP(B9,DS,2,0)</f>
        <v>Nguyễn Thị Kim Quyên</v>
      </c>
      <c r="D9" s="253" t="str">
        <f>VLOOKUP(B9,DS,3,0)</f>
        <v>Văn Phòng</v>
      </c>
      <c r="E9" s="55" t="s">
        <v>30</v>
      </c>
      <c r="F9" s="130">
        <v>8</v>
      </c>
      <c r="G9" s="130"/>
      <c r="H9" s="130">
        <v>8</v>
      </c>
      <c r="I9" s="130">
        <v>8</v>
      </c>
      <c r="J9" s="130">
        <v>8</v>
      </c>
      <c r="K9" s="130">
        <v>8</v>
      </c>
      <c r="L9" s="130">
        <v>8</v>
      </c>
      <c r="M9" s="130">
        <v>8</v>
      </c>
      <c r="N9" s="130"/>
      <c r="O9" s="130">
        <v>8</v>
      </c>
      <c r="P9" s="130">
        <v>8</v>
      </c>
      <c r="Q9" s="130">
        <v>8</v>
      </c>
      <c r="R9" s="130">
        <v>8</v>
      </c>
      <c r="S9" s="130">
        <v>8</v>
      </c>
      <c r="T9" s="130">
        <v>8</v>
      </c>
      <c r="U9" s="130"/>
      <c r="V9" s="130">
        <v>8</v>
      </c>
      <c r="W9" s="130">
        <v>8</v>
      </c>
      <c r="X9" s="130">
        <v>8</v>
      </c>
      <c r="Y9" s="130">
        <v>8</v>
      </c>
      <c r="Z9" s="130">
        <v>8</v>
      </c>
      <c r="AA9" s="130">
        <v>8</v>
      </c>
      <c r="AB9" s="130"/>
      <c r="AC9" s="130">
        <v>8</v>
      </c>
      <c r="AD9" s="130">
        <v>8</v>
      </c>
      <c r="AE9" s="130">
        <v>8</v>
      </c>
      <c r="AF9" s="130">
        <v>8</v>
      </c>
      <c r="AG9" s="130">
        <v>8</v>
      </c>
      <c r="AH9" s="130">
        <v>8</v>
      </c>
      <c r="AI9" s="130"/>
      <c r="AJ9" s="245">
        <f>((SUM(F9:AI9))/8)-(SUMIF($F$6:$AI$6,"C.Nhật",F9:AI9)/8)</f>
        <v>25</v>
      </c>
      <c r="AK9" s="245">
        <f>SUM(F10:AI10)/8*1.5</f>
        <v>0</v>
      </c>
      <c r="AL9" s="247">
        <f>SUMIF($F$6:$AI$6,"C.Nhật",$F9:$AI10)/8*2</f>
        <v>0</v>
      </c>
      <c r="AM9" s="241">
        <f>SUM(AJ9:AL10)</f>
        <v>25</v>
      </c>
      <c r="AN9" s="243">
        <v>0</v>
      </c>
      <c r="AO9" s="241"/>
      <c r="AP9" s="241"/>
      <c r="AQ9" s="241"/>
      <c r="AR9" s="239"/>
      <c r="AS9" s="205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</row>
    <row r="10" spans="1:90" s="54" customFormat="1" ht="18" customHeight="1">
      <c r="A10" s="250"/>
      <c r="B10" s="250"/>
      <c r="C10" s="252"/>
      <c r="D10" s="254"/>
      <c r="E10" s="56" t="s">
        <v>29</v>
      </c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246"/>
      <c r="AK10" s="246"/>
      <c r="AL10" s="248"/>
      <c r="AM10" s="242"/>
      <c r="AN10" s="244"/>
      <c r="AO10" s="242"/>
      <c r="AP10" s="242"/>
      <c r="AQ10" s="242"/>
      <c r="AR10" s="240"/>
      <c r="AS10" s="205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</row>
    <row r="11" spans="1:90" s="54" customFormat="1" ht="18" customHeight="1">
      <c r="A11" s="249">
        <v>2</v>
      </c>
      <c r="B11" s="249" t="s">
        <v>114</v>
      </c>
      <c r="C11" s="251" t="str">
        <f>VLOOKUP(B11,DS,2,0)</f>
        <v>Đinh Hoàng Lợi</v>
      </c>
      <c r="D11" s="253" t="str">
        <f>VLOOKUP(B11,DS,3,0)</f>
        <v>Tài xế</v>
      </c>
      <c r="E11" s="55" t="s">
        <v>30</v>
      </c>
      <c r="F11" s="130">
        <v>8</v>
      </c>
      <c r="G11" s="130"/>
      <c r="H11" s="130">
        <v>8</v>
      </c>
      <c r="I11" s="130">
        <v>8</v>
      </c>
      <c r="J11" s="130">
        <v>8</v>
      </c>
      <c r="K11" s="130">
        <v>8</v>
      </c>
      <c r="L11" s="130">
        <v>8</v>
      </c>
      <c r="M11" s="130">
        <v>8</v>
      </c>
      <c r="N11" s="130"/>
      <c r="O11" s="130">
        <v>8</v>
      </c>
      <c r="P11" s="130">
        <v>8</v>
      </c>
      <c r="Q11" s="130">
        <v>8</v>
      </c>
      <c r="R11" s="130">
        <v>8</v>
      </c>
      <c r="S11" s="130">
        <v>8</v>
      </c>
      <c r="T11" s="130">
        <v>8</v>
      </c>
      <c r="U11" s="130"/>
      <c r="V11" s="130">
        <v>8</v>
      </c>
      <c r="W11" s="130">
        <v>8</v>
      </c>
      <c r="X11" s="130">
        <v>8</v>
      </c>
      <c r="Y11" s="130">
        <v>8</v>
      </c>
      <c r="Z11" s="130">
        <v>8</v>
      </c>
      <c r="AA11" s="130">
        <v>8</v>
      </c>
      <c r="AB11" s="130"/>
      <c r="AC11" s="130">
        <v>8</v>
      </c>
      <c r="AD11" s="130">
        <v>8</v>
      </c>
      <c r="AE11" s="130">
        <v>8</v>
      </c>
      <c r="AF11" s="130">
        <v>8</v>
      </c>
      <c r="AG11" s="130">
        <v>8</v>
      </c>
      <c r="AH11" s="130">
        <v>8</v>
      </c>
      <c r="AI11" s="130"/>
      <c r="AJ11" s="245">
        <f>((SUM(F11:AI11))/8)-(SUMIF($F$6:$AI$6,"C.Nhật",F11:AI11)/8)</f>
        <v>25</v>
      </c>
      <c r="AK11" s="245">
        <f>SUM(F12:AI12)/8*1.5</f>
        <v>0</v>
      </c>
      <c r="AL11" s="247">
        <f>SUMIF($F$6:$AI$6,"C.Nhật",$F11:$AI12)/8*2</f>
        <v>0</v>
      </c>
      <c r="AM11" s="241">
        <f>SUM(AJ11:AL12)</f>
        <v>25</v>
      </c>
      <c r="AN11" s="243">
        <v>0</v>
      </c>
      <c r="AO11" s="241"/>
      <c r="AP11" s="241"/>
      <c r="AQ11" s="241"/>
      <c r="AR11" s="239"/>
      <c r="AS11" s="224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</row>
    <row r="12" spans="1:90" s="54" customFormat="1" ht="18" customHeight="1">
      <c r="A12" s="250"/>
      <c r="B12" s="250"/>
      <c r="C12" s="252"/>
      <c r="D12" s="254"/>
      <c r="E12" s="56" t="s">
        <v>29</v>
      </c>
      <c r="F12" s="131"/>
      <c r="G12" s="131"/>
      <c r="H12" s="131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1"/>
      <c r="Y12" s="131"/>
      <c r="Z12" s="131"/>
      <c r="AA12" s="131"/>
      <c r="AB12" s="131"/>
      <c r="AC12" s="131"/>
      <c r="AD12" s="131"/>
      <c r="AE12" s="131"/>
      <c r="AF12" s="131"/>
      <c r="AG12" s="131"/>
      <c r="AH12" s="131"/>
      <c r="AI12" s="131"/>
      <c r="AJ12" s="246"/>
      <c r="AK12" s="246"/>
      <c r="AL12" s="248"/>
      <c r="AM12" s="242"/>
      <c r="AN12" s="244"/>
      <c r="AO12" s="242"/>
      <c r="AP12" s="242"/>
      <c r="AQ12" s="242"/>
      <c r="AR12" s="240"/>
      <c r="AS12" s="224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0" s="166" customFormat="1" ht="21" customHeight="1">
      <c r="A13" s="164" t="s">
        <v>69</v>
      </c>
      <c r="B13" s="167" t="s">
        <v>73</v>
      </c>
      <c r="C13" s="168"/>
      <c r="D13" s="168"/>
      <c r="E13" s="168"/>
      <c r="F13" s="168"/>
      <c r="G13" s="168"/>
      <c r="H13" s="168"/>
      <c r="I13" s="168"/>
      <c r="J13" s="168"/>
      <c r="K13" s="168"/>
      <c r="L13" s="168"/>
      <c r="M13" s="168"/>
      <c r="N13" s="168"/>
      <c r="O13" s="168"/>
      <c r="P13" s="168"/>
      <c r="Q13" s="168"/>
      <c r="R13" s="168"/>
      <c r="S13" s="168"/>
      <c r="T13" s="168"/>
      <c r="U13" s="168"/>
      <c r="V13" s="168"/>
      <c r="W13" s="168"/>
      <c r="X13" s="168"/>
      <c r="Y13" s="168"/>
      <c r="Z13" s="168"/>
      <c r="AA13" s="168"/>
      <c r="AB13" s="168"/>
      <c r="AC13" s="168"/>
      <c r="AD13" s="168"/>
      <c r="AE13" s="168"/>
      <c r="AF13" s="168"/>
      <c r="AG13" s="168"/>
      <c r="AH13" s="168"/>
      <c r="AI13" s="168"/>
      <c r="AJ13" s="168"/>
      <c r="AK13" s="168"/>
      <c r="AL13" s="168"/>
      <c r="AM13" s="168"/>
      <c r="AN13" s="168"/>
      <c r="AO13" s="168"/>
      <c r="AP13" s="168"/>
      <c r="AQ13" s="168"/>
      <c r="AR13" s="169"/>
      <c r="AS13" s="165"/>
    </row>
    <row r="14" spans="1:90" s="54" customFormat="1" ht="18" customHeight="1">
      <c r="A14" s="249">
        <v>1</v>
      </c>
      <c r="B14" s="249" t="s">
        <v>75</v>
      </c>
      <c r="C14" s="251" t="str">
        <f>VLOOKUP(B14,DS,2,0)</f>
        <v>Lê Văn Hữu</v>
      </c>
      <c r="D14" s="253" t="str">
        <f>VLOOKUP(B14,DS,3,0)</f>
        <v>Công Đoạn 1</v>
      </c>
      <c r="E14" s="55" t="s">
        <v>30</v>
      </c>
      <c r="F14" s="130">
        <v>8</v>
      </c>
      <c r="G14" s="130"/>
      <c r="H14" s="130">
        <v>8</v>
      </c>
      <c r="I14" s="130">
        <v>8</v>
      </c>
      <c r="J14" s="130">
        <v>8</v>
      </c>
      <c r="K14" s="130">
        <v>8</v>
      </c>
      <c r="L14" s="130">
        <v>8</v>
      </c>
      <c r="M14" s="130">
        <v>8</v>
      </c>
      <c r="N14" s="130"/>
      <c r="O14" s="130">
        <v>8</v>
      </c>
      <c r="P14" s="130">
        <v>8</v>
      </c>
      <c r="Q14" s="130">
        <v>8</v>
      </c>
      <c r="R14" s="130">
        <v>8</v>
      </c>
      <c r="S14" s="130">
        <v>8</v>
      </c>
      <c r="T14" s="130">
        <v>8</v>
      </c>
      <c r="U14" s="130"/>
      <c r="V14" s="130">
        <v>8</v>
      </c>
      <c r="W14" s="130">
        <v>8</v>
      </c>
      <c r="X14" s="130">
        <v>8</v>
      </c>
      <c r="Y14" s="130">
        <v>8</v>
      </c>
      <c r="Z14" s="130">
        <v>8</v>
      </c>
      <c r="AA14" s="130">
        <v>8</v>
      </c>
      <c r="AB14" s="130"/>
      <c r="AC14" s="130">
        <v>8</v>
      </c>
      <c r="AD14" s="130">
        <v>8</v>
      </c>
      <c r="AE14" s="130">
        <v>8</v>
      </c>
      <c r="AF14" s="130">
        <v>8</v>
      </c>
      <c r="AG14" s="130">
        <v>8</v>
      </c>
      <c r="AH14" s="130">
        <v>8</v>
      </c>
      <c r="AI14" s="130"/>
      <c r="AJ14" s="245">
        <f>((SUM(F14:AI14))/8)-(SUMIF($F$6:$AI$6,"C.Nhật",F14:AI14)/8)</f>
        <v>25</v>
      </c>
      <c r="AK14" s="245">
        <f>SUM(F15:AI15)/8*1.5</f>
        <v>0</v>
      </c>
      <c r="AL14" s="247">
        <f>SUMIF($F$6:$AI$6,"C.Nhật",$F14:$AI15)/8*2</f>
        <v>0</v>
      </c>
      <c r="AM14" s="241">
        <f>SUM(AJ14:AL15)</f>
        <v>25</v>
      </c>
      <c r="AN14" s="243">
        <v>0</v>
      </c>
      <c r="AO14" s="241"/>
      <c r="AP14" s="241"/>
      <c r="AQ14" s="241"/>
      <c r="AR14" s="239"/>
      <c r="AS14" s="205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</row>
    <row r="15" spans="1:90" s="54" customFormat="1" ht="18" customHeight="1">
      <c r="A15" s="250"/>
      <c r="B15" s="250"/>
      <c r="C15" s="252"/>
      <c r="D15" s="254"/>
      <c r="E15" s="56" t="s">
        <v>29</v>
      </c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246"/>
      <c r="AK15" s="246"/>
      <c r="AL15" s="248"/>
      <c r="AM15" s="242"/>
      <c r="AN15" s="244"/>
      <c r="AO15" s="242"/>
      <c r="AP15" s="242"/>
      <c r="AQ15" s="242"/>
      <c r="AR15" s="240"/>
      <c r="AS15" s="205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</row>
    <row r="16" spans="1:90" s="54" customFormat="1" ht="18" customHeight="1">
      <c r="A16" s="249">
        <v>2</v>
      </c>
      <c r="B16" s="249" t="s">
        <v>76</v>
      </c>
      <c r="C16" s="251" t="str">
        <f>VLOOKUP(B16,DS,2,0)</f>
        <v>Lý Thanh Hải</v>
      </c>
      <c r="D16" s="253" t="str">
        <f>VLOOKUP(B16,DS,3,0)</f>
        <v>Công Đoạn 1</v>
      </c>
      <c r="E16" s="55" t="s">
        <v>30</v>
      </c>
      <c r="F16" s="130">
        <v>8</v>
      </c>
      <c r="G16" s="130"/>
      <c r="H16" s="130">
        <v>8</v>
      </c>
      <c r="I16" s="130">
        <v>8</v>
      </c>
      <c r="J16" s="130">
        <v>8</v>
      </c>
      <c r="K16" s="130">
        <v>8</v>
      </c>
      <c r="L16" s="130">
        <v>8</v>
      </c>
      <c r="M16" s="130">
        <v>8</v>
      </c>
      <c r="N16" s="130"/>
      <c r="O16" s="130">
        <v>8</v>
      </c>
      <c r="P16" s="130">
        <v>8</v>
      </c>
      <c r="Q16" s="130">
        <v>8</v>
      </c>
      <c r="R16" s="130">
        <v>8</v>
      </c>
      <c r="S16" s="130">
        <v>8</v>
      </c>
      <c r="T16" s="130">
        <v>8</v>
      </c>
      <c r="U16" s="130"/>
      <c r="V16" s="130">
        <v>8</v>
      </c>
      <c r="W16" s="130">
        <v>8</v>
      </c>
      <c r="X16" s="130">
        <v>8</v>
      </c>
      <c r="Y16" s="130">
        <v>8</v>
      </c>
      <c r="Z16" s="130">
        <v>8</v>
      </c>
      <c r="AA16" s="130">
        <v>8</v>
      </c>
      <c r="AB16" s="130"/>
      <c r="AC16" s="130">
        <v>8</v>
      </c>
      <c r="AD16" s="130">
        <v>8</v>
      </c>
      <c r="AE16" s="130">
        <v>8</v>
      </c>
      <c r="AF16" s="130">
        <v>8</v>
      </c>
      <c r="AG16" s="130">
        <v>8</v>
      </c>
      <c r="AH16" s="130">
        <v>8</v>
      </c>
      <c r="AI16" s="130"/>
      <c r="AJ16" s="245">
        <f>((SUM(F16:AI16))/8)-(SUMIF($F$6:$AI$6,"C.Nhật",F16:AI16)/8)</f>
        <v>25</v>
      </c>
      <c r="AK16" s="245">
        <f>SUM(F17:AI17)/8*1.5</f>
        <v>0</v>
      </c>
      <c r="AL16" s="247">
        <f>SUMIF($F$6:$AI$6,"C.Nhật",$F16:$AI17)/8*2</f>
        <v>0</v>
      </c>
      <c r="AM16" s="241">
        <f t="shared" ref="AM16" si="2">SUM(AJ16:AL17)</f>
        <v>25</v>
      </c>
      <c r="AN16" s="243">
        <v>0</v>
      </c>
      <c r="AO16" s="241"/>
      <c r="AP16" s="241"/>
      <c r="AQ16" s="241"/>
      <c r="AR16" s="239"/>
      <c r="AS16" s="21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</row>
    <row r="17" spans="1:91" s="54" customFormat="1" ht="18" customHeight="1">
      <c r="A17" s="250"/>
      <c r="B17" s="250"/>
      <c r="C17" s="252"/>
      <c r="D17" s="254"/>
      <c r="E17" s="56" t="s">
        <v>29</v>
      </c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246"/>
      <c r="AK17" s="246"/>
      <c r="AL17" s="248"/>
      <c r="AM17" s="242"/>
      <c r="AN17" s="244"/>
      <c r="AO17" s="242"/>
      <c r="AP17" s="242"/>
      <c r="AQ17" s="242"/>
      <c r="AR17" s="240"/>
      <c r="AS17" s="21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</row>
    <row r="18" spans="1:91" s="54" customFormat="1" ht="18" customHeight="1">
      <c r="A18" s="249">
        <v>3</v>
      </c>
      <c r="B18" s="249" t="s">
        <v>77</v>
      </c>
      <c r="C18" s="251" t="str">
        <f>VLOOKUP(B18,DS,2,0)</f>
        <v>Cao Minh Chí</v>
      </c>
      <c r="D18" s="253" t="str">
        <f>VLOOKUP(B18,DS,3,0)</f>
        <v>Công Đoạn 2</v>
      </c>
      <c r="E18" s="55" t="s">
        <v>30</v>
      </c>
      <c r="F18" s="130">
        <v>8</v>
      </c>
      <c r="G18" s="130"/>
      <c r="H18" s="130">
        <v>8</v>
      </c>
      <c r="I18" s="130">
        <v>8</v>
      </c>
      <c r="J18" s="130">
        <v>8</v>
      </c>
      <c r="K18" s="130">
        <v>8</v>
      </c>
      <c r="L18" s="130">
        <v>8</v>
      </c>
      <c r="M18" s="130">
        <v>8</v>
      </c>
      <c r="N18" s="130"/>
      <c r="O18" s="130">
        <v>8</v>
      </c>
      <c r="P18" s="130">
        <v>8</v>
      </c>
      <c r="Q18" s="130">
        <v>8</v>
      </c>
      <c r="R18" s="130">
        <v>8</v>
      </c>
      <c r="S18" s="130">
        <v>8</v>
      </c>
      <c r="T18" s="130">
        <v>8</v>
      </c>
      <c r="U18" s="130"/>
      <c r="V18" s="130">
        <v>8</v>
      </c>
      <c r="W18" s="130">
        <v>8</v>
      </c>
      <c r="X18" s="130">
        <v>8</v>
      </c>
      <c r="Y18" s="130">
        <v>8</v>
      </c>
      <c r="Z18" s="130">
        <v>8</v>
      </c>
      <c r="AA18" s="130">
        <v>8</v>
      </c>
      <c r="AB18" s="130"/>
      <c r="AC18" s="130">
        <v>8</v>
      </c>
      <c r="AD18" s="130">
        <v>8</v>
      </c>
      <c r="AE18" s="130">
        <v>8</v>
      </c>
      <c r="AF18" s="130">
        <v>8</v>
      </c>
      <c r="AG18" s="130">
        <v>8</v>
      </c>
      <c r="AH18" s="130">
        <v>8</v>
      </c>
      <c r="AI18" s="130"/>
      <c r="AJ18" s="245">
        <f>((SUM(F18:AI18))/8)-(SUMIF($F$6:$AI$6,"C.Nhật",F18:AI18)/8)</f>
        <v>25</v>
      </c>
      <c r="AK18" s="245">
        <f>SUM(F19:AI19)/8*1.5</f>
        <v>0</v>
      </c>
      <c r="AL18" s="247">
        <f>SUMIF($F$6:$AI$6,"C.Nhật",$F18:$AI19)/8*2</f>
        <v>0</v>
      </c>
      <c r="AM18" s="241">
        <f t="shared" ref="AM18" si="3">SUM(AJ18:AL19)</f>
        <v>25</v>
      </c>
      <c r="AN18" s="243">
        <v>0</v>
      </c>
      <c r="AO18" s="241"/>
      <c r="AP18" s="241"/>
      <c r="AQ18" s="241"/>
      <c r="AR18" s="239"/>
      <c r="AS18" s="21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</row>
    <row r="19" spans="1:91" s="54" customFormat="1" ht="18" customHeight="1">
      <c r="A19" s="250"/>
      <c r="B19" s="250"/>
      <c r="C19" s="252"/>
      <c r="D19" s="254"/>
      <c r="E19" s="56" t="s">
        <v>29</v>
      </c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131"/>
      <c r="W19" s="131"/>
      <c r="X19" s="131"/>
      <c r="Y19" s="131"/>
      <c r="Z19" s="131"/>
      <c r="AA19" s="131"/>
      <c r="AB19" s="131"/>
      <c r="AC19" s="131"/>
      <c r="AD19" s="131"/>
      <c r="AE19" s="131"/>
      <c r="AF19" s="131"/>
      <c r="AG19" s="131"/>
      <c r="AH19" s="131"/>
      <c r="AI19" s="131"/>
      <c r="AJ19" s="246"/>
      <c r="AK19" s="246"/>
      <c r="AL19" s="248"/>
      <c r="AM19" s="242"/>
      <c r="AN19" s="244"/>
      <c r="AO19" s="242"/>
      <c r="AP19" s="242"/>
      <c r="AQ19" s="242"/>
      <c r="AR19" s="240"/>
      <c r="AS19" s="21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</row>
    <row r="20" spans="1:91" s="57" customFormat="1" ht="12.75">
      <c r="A20" s="14"/>
      <c r="B20" s="58"/>
      <c r="C20" s="4"/>
      <c r="D20" s="100"/>
      <c r="E20" s="4"/>
      <c r="F20" s="62"/>
      <c r="G20" s="62"/>
      <c r="H20" s="59"/>
      <c r="I20" s="59"/>
      <c r="J20" s="107"/>
      <c r="K20" s="62"/>
      <c r="L20" s="59"/>
      <c r="M20" s="62"/>
      <c r="N20" s="62"/>
      <c r="O20" s="62"/>
      <c r="P20" s="62"/>
      <c r="Q20" s="59"/>
      <c r="R20" s="62"/>
      <c r="S20" s="62"/>
      <c r="T20" s="107"/>
      <c r="U20" s="62"/>
      <c r="V20" s="62"/>
      <c r="W20" s="62"/>
      <c r="X20" s="58"/>
      <c r="Y20" s="62"/>
      <c r="Z20" s="62"/>
      <c r="AA20" s="62"/>
      <c r="AB20" s="62"/>
      <c r="AC20" s="62"/>
      <c r="AD20" s="59"/>
      <c r="AE20" s="62"/>
      <c r="AF20" s="62"/>
      <c r="AG20" s="62"/>
      <c r="AH20" s="62"/>
      <c r="AI20" s="62"/>
      <c r="AJ20" s="4"/>
      <c r="AK20" s="4"/>
      <c r="AL20" s="85"/>
      <c r="AM20" s="61"/>
      <c r="AN20" s="61"/>
      <c r="AO20" s="61"/>
      <c r="AP20" s="61"/>
      <c r="AQ20" s="61"/>
      <c r="AR20" s="4"/>
      <c r="AS20" s="91"/>
    </row>
    <row r="21" spans="1:91" s="57" customFormat="1" ht="12.75">
      <c r="A21" s="14"/>
      <c r="B21" s="58"/>
      <c r="C21" s="14" t="s">
        <v>14</v>
      </c>
      <c r="D21" s="100"/>
      <c r="E21" s="4"/>
      <c r="F21" s="62"/>
      <c r="G21" s="62"/>
      <c r="H21" s="59"/>
      <c r="I21" s="59"/>
      <c r="J21" s="107"/>
      <c r="K21" s="62"/>
      <c r="L21" s="59"/>
      <c r="M21" s="62"/>
      <c r="N21" s="62"/>
      <c r="O21" s="62"/>
      <c r="P21" s="62"/>
      <c r="Q21" s="59"/>
      <c r="R21" s="62"/>
      <c r="S21" s="62"/>
      <c r="T21" s="107"/>
      <c r="U21" s="62"/>
      <c r="V21" s="62"/>
      <c r="W21" s="62"/>
      <c r="X21" s="58"/>
      <c r="Y21" s="62"/>
      <c r="Z21" s="62"/>
      <c r="AA21" s="62"/>
      <c r="AB21" s="62"/>
      <c r="AC21" s="62"/>
      <c r="AD21" s="59"/>
      <c r="AE21" s="62"/>
      <c r="AF21" s="62"/>
      <c r="AG21" s="62"/>
      <c r="AH21" s="62"/>
      <c r="AI21" s="62"/>
      <c r="AJ21" s="4"/>
      <c r="AK21" s="4"/>
      <c r="AL21" s="85"/>
      <c r="AM21" s="61"/>
      <c r="AN21" s="61"/>
      <c r="AO21" s="61"/>
      <c r="AP21" s="61"/>
      <c r="AQ21" s="61"/>
      <c r="AR21" s="4"/>
      <c r="AS21" s="91"/>
    </row>
    <row r="22" spans="1:91" s="57" customFormat="1" ht="12.75">
      <c r="A22" s="12"/>
      <c r="B22" s="12"/>
      <c r="C22" s="4"/>
      <c r="D22" s="100"/>
      <c r="E22" s="4"/>
      <c r="F22" s="62"/>
      <c r="G22" s="62"/>
      <c r="H22" s="108"/>
      <c r="I22" s="108"/>
      <c r="J22" s="108"/>
      <c r="K22" s="62"/>
      <c r="L22" s="108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108"/>
      <c r="AE22" s="62"/>
      <c r="AF22" s="62"/>
      <c r="AG22" s="62"/>
      <c r="AH22" s="62"/>
      <c r="AI22" s="62"/>
      <c r="AJ22" s="4"/>
      <c r="AK22" s="4"/>
      <c r="AL22" s="85"/>
      <c r="AM22" s="63"/>
      <c r="AN22" s="63"/>
      <c r="AO22" s="63"/>
      <c r="AP22" s="63"/>
      <c r="AQ22" s="63"/>
      <c r="AR22" s="4"/>
      <c r="AS22" s="91"/>
    </row>
    <row r="23" spans="1:91" s="60" customFormat="1" ht="15" customHeight="1">
      <c r="A23" s="12"/>
      <c r="B23" s="12"/>
      <c r="C23" s="4"/>
      <c r="D23" s="100"/>
      <c r="E23" s="4"/>
      <c r="F23" s="62"/>
      <c r="G23" s="62"/>
      <c r="H23" s="108"/>
      <c r="I23" s="108"/>
      <c r="J23" s="108"/>
      <c r="K23" s="62"/>
      <c r="L23" s="108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108"/>
      <c r="AE23" s="62"/>
      <c r="AF23" s="62"/>
      <c r="AG23" s="62"/>
      <c r="AH23" s="62"/>
      <c r="AI23" s="62"/>
      <c r="AJ23" s="4"/>
      <c r="AK23" s="4"/>
      <c r="AL23" s="85"/>
      <c r="AM23" s="63"/>
      <c r="AN23" s="63"/>
      <c r="AO23" s="63"/>
      <c r="AP23" s="63"/>
      <c r="AQ23" s="63"/>
      <c r="AR23" s="4"/>
      <c r="AS23" s="4"/>
    </row>
    <row r="24" spans="1:91" s="60" customFormat="1" ht="11.25">
      <c r="A24" s="12"/>
      <c r="B24" s="12"/>
      <c r="C24" s="4"/>
      <c r="D24" s="100"/>
      <c r="E24" s="4"/>
      <c r="F24" s="62"/>
      <c r="G24" s="62"/>
      <c r="H24" s="108"/>
      <c r="I24" s="108"/>
      <c r="J24" s="108"/>
      <c r="K24" s="62"/>
      <c r="L24" s="108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108"/>
      <c r="AE24" s="62"/>
      <c r="AF24" s="62"/>
      <c r="AG24" s="62"/>
      <c r="AH24" s="62"/>
      <c r="AI24" s="62"/>
      <c r="AJ24" s="4"/>
      <c r="AK24" s="4"/>
      <c r="AL24" s="85"/>
      <c r="AM24" s="63"/>
      <c r="AN24" s="63"/>
      <c r="AO24" s="63"/>
      <c r="AP24" s="63"/>
      <c r="AQ24" s="63"/>
      <c r="AR24" s="4"/>
      <c r="AS24" s="4"/>
    </row>
    <row r="25" spans="1:91" s="60" customFormat="1" ht="11.25">
      <c r="A25" s="12"/>
      <c r="B25" s="12"/>
      <c r="C25" s="4"/>
      <c r="D25" s="100"/>
      <c r="E25" s="4"/>
      <c r="F25" s="62"/>
      <c r="G25" s="62"/>
      <c r="H25" s="108"/>
      <c r="I25" s="108"/>
      <c r="J25" s="108"/>
      <c r="K25" s="62"/>
      <c r="L25" s="108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108"/>
      <c r="AE25" s="62"/>
      <c r="AF25" s="62"/>
      <c r="AG25" s="62"/>
      <c r="AH25" s="62"/>
      <c r="AI25" s="62"/>
      <c r="AJ25" s="4"/>
      <c r="AK25" s="4"/>
      <c r="AL25" s="85"/>
      <c r="AM25" s="63"/>
      <c r="AN25" s="63"/>
      <c r="AO25" s="63"/>
      <c r="AP25" s="63"/>
      <c r="AQ25" s="63"/>
      <c r="AR25" s="4"/>
      <c r="AS25" s="4"/>
    </row>
    <row r="26" spans="1:91" s="60" customFormat="1" ht="11.25">
      <c r="A26" s="10"/>
      <c r="B26" s="10"/>
      <c r="C26" s="14"/>
      <c r="D26" s="101"/>
      <c r="E26" s="64"/>
      <c r="F26" s="107"/>
      <c r="G26" s="109"/>
      <c r="H26" s="59"/>
      <c r="I26" s="59"/>
      <c r="J26" s="59"/>
      <c r="K26" s="109"/>
      <c r="L26" s="59"/>
      <c r="M26" s="109"/>
      <c r="N26" s="109"/>
      <c r="O26" s="109"/>
      <c r="P26" s="109"/>
      <c r="Q26" s="59"/>
      <c r="R26" s="107"/>
      <c r="S26" s="109"/>
      <c r="T26" s="109"/>
      <c r="U26" s="59"/>
      <c r="V26" s="109"/>
      <c r="W26" s="109"/>
      <c r="X26" s="59"/>
      <c r="Y26" s="109"/>
      <c r="Z26" s="109"/>
      <c r="AA26" s="109"/>
      <c r="AB26" s="109"/>
      <c r="AC26" s="109"/>
      <c r="AD26" s="59"/>
      <c r="AE26" s="109"/>
      <c r="AF26" s="109"/>
      <c r="AG26" s="109"/>
      <c r="AH26" s="109"/>
      <c r="AI26" s="109"/>
      <c r="AJ26" s="64"/>
      <c r="AL26" s="86"/>
      <c r="AM26" s="10"/>
      <c r="AN26" s="10"/>
      <c r="AO26" s="10"/>
      <c r="AP26" s="10"/>
      <c r="AQ26" s="10"/>
      <c r="AR26" s="14"/>
      <c r="AS26" s="4"/>
    </row>
    <row r="27" spans="1:91" s="60" customFormat="1" ht="12.75">
      <c r="A27" s="2"/>
      <c r="B27" s="2" t="s">
        <v>0</v>
      </c>
      <c r="C27" s="2"/>
      <c r="D27" s="203"/>
      <c r="E27" s="2"/>
      <c r="F27" s="110"/>
      <c r="G27" s="110"/>
      <c r="H27" s="110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  <c r="AA27" s="110"/>
      <c r="AB27" s="110"/>
      <c r="AC27" s="110"/>
      <c r="AD27" s="110"/>
      <c r="AE27" s="110"/>
      <c r="AF27" s="110"/>
      <c r="AG27" s="110"/>
      <c r="AH27" s="111"/>
      <c r="AI27" s="111"/>
      <c r="AJ27" s="2"/>
      <c r="AK27" s="2"/>
      <c r="AL27" s="87"/>
      <c r="AM27" s="2"/>
      <c r="AN27" s="2"/>
      <c r="AO27" s="2"/>
      <c r="AP27" s="2"/>
      <c r="AQ27" s="2"/>
      <c r="AR27" s="2"/>
      <c r="AS27" s="4"/>
    </row>
    <row r="28" spans="1:91" s="60" customFormat="1" ht="12.75">
      <c r="A28" s="2"/>
      <c r="B28" s="2"/>
      <c r="C28" s="2" t="s">
        <v>40</v>
      </c>
      <c r="D28" s="203"/>
      <c r="E28" s="2"/>
      <c r="F28" s="110"/>
      <c r="G28" s="110"/>
      <c r="H28" s="110"/>
      <c r="I28" s="110"/>
      <c r="J28" s="110"/>
      <c r="K28" s="110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0"/>
      <c r="W28" s="110"/>
      <c r="X28" s="110"/>
      <c r="Y28" s="110"/>
      <c r="Z28" s="110"/>
      <c r="AA28" s="110"/>
      <c r="AB28" s="110"/>
      <c r="AC28" s="110"/>
      <c r="AD28" s="110"/>
      <c r="AE28" s="110"/>
      <c r="AF28" s="110"/>
      <c r="AG28" s="110"/>
      <c r="AH28" s="111"/>
      <c r="AI28" s="111"/>
      <c r="AJ28" s="2"/>
      <c r="AK28" s="2"/>
      <c r="AL28" s="87"/>
      <c r="AM28" s="2"/>
      <c r="AN28" s="2"/>
      <c r="AO28" s="2"/>
      <c r="AP28" s="2"/>
      <c r="AQ28" s="2"/>
      <c r="AR28" s="2"/>
      <c r="AS28" s="14"/>
    </row>
    <row r="29" spans="1:91" ht="15" customHeight="1">
      <c r="C29" s="2" t="s">
        <v>41</v>
      </c>
    </row>
    <row r="30" spans="1:91" ht="15" customHeight="1">
      <c r="C30" s="2" t="s">
        <v>42</v>
      </c>
    </row>
    <row r="31" spans="1:91" s="203" customFormat="1" ht="15" customHeight="1">
      <c r="A31" s="2"/>
      <c r="B31" s="2"/>
      <c r="C31" s="2" t="s">
        <v>43</v>
      </c>
      <c r="E31" s="2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  <c r="AE31" s="110"/>
      <c r="AF31" s="110"/>
      <c r="AG31" s="110"/>
      <c r="AH31" s="111"/>
      <c r="AI31" s="111"/>
      <c r="AJ31" s="2"/>
      <c r="AK31" s="2"/>
      <c r="AL31" s="87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03" customFormat="1" ht="15" customHeight="1">
      <c r="A32" s="2"/>
      <c r="B32" s="2"/>
      <c r="C32" s="2" t="s">
        <v>44</v>
      </c>
      <c r="E32" s="2"/>
      <c r="F32" s="110"/>
      <c r="G32" s="110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0"/>
      <c r="AG32" s="110"/>
      <c r="AH32" s="111"/>
      <c r="AI32" s="111"/>
      <c r="AJ32" s="2"/>
      <c r="AK32" s="2"/>
      <c r="AL32" s="87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203" customFormat="1" ht="15" customHeight="1">
      <c r="A33" s="2"/>
      <c r="B33" s="2"/>
      <c r="C33" s="2" t="s">
        <v>45</v>
      </c>
      <c r="E33" s="2"/>
      <c r="F33" s="110"/>
      <c r="G33" s="110"/>
      <c r="H33" s="110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  <c r="AA33" s="110"/>
      <c r="AB33" s="110"/>
      <c r="AC33" s="110"/>
      <c r="AD33" s="110"/>
      <c r="AE33" s="110"/>
      <c r="AF33" s="110"/>
      <c r="AG33" s="110"/>
      <c r="AH33" s="111"/>
      <c r="AI33" s="111"/>
      <c r="AJ33" s="2"/>
      <c r="AK33" s="2"/>
      <c r="AL33" s="87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03" customFormat="1" ht="15" customHeight="1">
      <c r="A34" s="2"/>
      <c r="B34" s="2"/>
      <c r="C34" s="2" t="s">
        <v>46</v>
      </c>
      <c r="E34" s="2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1"/>
      <c r="AI34" s="111"/>
      <c r="AJ34" s="2"/>
      <c r="AK34" s="2"/>
      <c r="AL34" s="87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203" customFormat="1" ht="15" customHeight="1">
      <c r="A35" s="2"/>
      <c r="B35" s="2"/>
      <c r="C35" s="2" t="s">
        <v>47</v>
      </c>
      <c r="E35" s="2"/>
      <c r="F35" s="110"/>
      <c r="G35" s="110"/>
      <c r="H35" s="110"/>
      <c r="I35" s="110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  <c r="AA35" s="110"/>
      <c r="AB35" s="110"/>
      <c r="AC35" s="110"/>
      <c r="AD35" s="110"/>
      <c r="AE35" s="110"/>
      <c r="AF35" s="110"/>
      <c r="AG35" s="110"/>
      <c r="AH35" s="111"/>
      <c r="AI35" s="111"/>
      <c r="AJ35" s="2"/>
      <c r="AK35" s="2"/>
      <c r="AL35" s="87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203" customFormat="1" ht="15" customHeight="1">
      <c r="A36" s="2"/>
      <c r="B36" s="2"/>
      <c r="C36" s="2" t="s">
        <v>48</v>
      </c>
      <c r="E36" s="2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1"/>
      <c r="AI36" s="111"/>
      <c r="AJ36" s="2"/>
      <c r="AK36" s="2"/>
      <c r="AL36" s="87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22:J25 Q20:Q21" name="Range1_1_1_1"/>
    <protectedRange password="CC78" sqref="J26" name="Range1_3_1_1"/>
    <protectedRange password="CC78" sqref="A14:A19" name="Range1_1_2"/>
    <protectedRange password="CC78" sqref="A14:A19 C14:E19" name="Range1_6_2"/>
    <protectedRange password="CC78" sqref="B14:B19" name="Range1_4_2"/>
  </protectedRanges>
  <mergeCells count="79">
    <mergeCell ref="AP16:AP17"/>
    <mergeCell ref="AQ16:AQ17"/>
    <mergeCell ref="AR16:AR17"/>
    <mergeCell ref="AK16:AK17"/>
    <mergeCell ref="AL16:AL17"/>
    <mergeCell ref="AM16:AM17"/>
    <mergeCell ref="AN16:AN17"/>
    <mergeCell ref="AO16:AO17"/>
    <mergeCell ref="A16:A17"/>
    <mergeCell ref="B16:B17"/>
    <mergeCell ref="C16:C17"/>
    <mergeCell ref="A18:A19"/>
    <mergeCell ref="B18:B19"/>
    <mergeCell ref="C18:C19"/>
    <mergeCell ref="D18:D19"/>
    <mergeCell ref="AJ18:AJ19"/>
    <mergeCell ref="AK18:AK19"/>
    <mergeCell ref="AL18:AL19"/>
    <mergeCell ref="AM18:AM19"/>
    <mergeCell ref="AN18:AN19"/>
    <mergeCell ref="AO18:AO19"/>
    <mergeCell ref="AP18:AP19"/>
    <mergeCell ref="AQ18:AQ19"/>
    <mergeCell ref="AR18:AR19"/>
    <mergeCell ref="D16:D17"/>
    <mergeCell ref="AJ16:AJ17"/>
    <mergeCell ref="AL1:AR1"/>
    <mergeCell ref="A5:A6"/>
    <mergeCell ref="B5:B6"/>
    <mergeCell ref="C5:C6"/>
    <mergeCell ref="D5:D6"/>
    <mergeCell ref="E5:E6"/>
    <mergeCell ref="AJ5:AL5"/>
    <mergeCell ref="AM5:AM6"/>
    <mergeCell ref="AN5:AN6"/>
    <mergeCell ref="AO5:AO6"/>
    <mergeCell ref="AP5:AP6"/>
    <mergeCell ref="AQ5:AQ6"/>
    <mergeCell ref="AR5:AR6"/>
    <mergeCell ref="C9:C10"/>
    <mergeCell ref="A14:A15"/>
    <mergeCell ref="A9:A10"/>
    <mergeCell ref="B9:B10"/>
    <mergeCell ref="AS5:AS6"/>
    <mergeCell ref="AK9:AK10"/>
    <mergeCell ref="AR9:AR10"/>
    <mergeCell ref="AO9:AO10"/>
    <mergeCell ref="AP9:AP10"/>
    <mergeCell ref="AQ9:AQ10"/>
    <mergeCell ref="AL9:AL10"/>
    <mergeCell ref="AM9:AM10"/>
    <mergeCell ref="AN9:AN10"/>
    <mergeCell ref="D9:D10"/>
    <mergeCell ref="AJ9:AJ10"/>
    <mergeCell ref="AR14:AR15"/>
    <mergeCell ref="AL14:AL15"/>
    <mergeCell ref="AM14:AM15"/>
    <mergeCell ref="AN14:AN15"/>
    <mergeCell ref="AO14:AO15"/>
    <mergeCell ref="AP14:AP15"/>
    <mergeCell ref="AQ14:AQ15"/>
    <mergeCell ref="B14:B15"/>
    <mergeCell ref="C14:C15"/>
    <mergeCell ref="D14:D15"/>
    <mergeCell ref="AJ14:AJ15"/>
    <mergeCell ref="AK14:AK15"/>
    <mergeCell ref="A11:A12"/>
    <mergeCell ref="B11:B12"/>
    <mergeCell ref="C11:C12"/>
    <mergeCell ref="D11:D12"/>
    <mergeCell ref="AJ11:AJ12"/>
    <mergeCell ref="AP11:AP12"/>
    <mergeCell ref="AQ11:AQ12"/>
    <mergeCell ref="AR11:AR12"/>
    <mergeCell ref="AK11:AK12"/>
    <mergeCell ref="AL11:AL12"/>
    <mergeCell ref="AM11:AM12"/>
    <mergeCell ref="AN11:AN12"/>
    <mergeCell ref="AO11:AO12"/>
  </mergeCells>
  <conditionalFormatting sqref="F5:AI6 F9:AI10">
    <cfRule type="expression" dxfId="66" priority="22" stopIfTrue="1">
      <formula>IF(WEEKDAY(F$5)=1,TRUE,FALSE)</formula>
    </cfRule>
  </conditionalFormatting>
  <conditionalFormatting sqref="F14:AI19">
    <cfRule type="expression" dxfId="65" priority="2" stopIfTrue="1">
      <formula>IF(WEEKDAY(F$5)=1,TRUE,FALSE)</formula>
    </cfRule>
  </conditionalFormatting>
  <conditionalFormatting sqref="F11:AI12">
    <cfRule type="expression" dxfId="64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0"/>
  <sheetViews>
    <sheetView zoomScaleNormal="70" workbookViewId="0">
      <pane xSplit="3" ySplit="8" topLeftCell="G9" activePane="bottomRight" state="frozen"/>
      <selection activeCell="X10" sqref="X10"/>
      <selection pane="topRight" activeCell="X10" sqref="X10"/>
      <selection pane="bottomLeft" activeCell="X10" sqref="X10"/>
      <selection pane="bottomRight" activeCell="A10" sqref="A10:T11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78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26"/>
      <c r="B1" s="207"/>
      <c r="C1" s="207"/>
      <c r="D1" s="273" t="str">
        <f>"BẢNG THANH TOÁN LƯƠNG THÁNG"&amp;" "&amp;TEXT($E$4,"mm")&amp;" / "&amp;TEXT($E$4,"yyyy")</f>
        <v>BẢNG THANH TOÁN LƯƠNG THÁNG 04 / 2017</v>
      </c>
      <c r="E1" s="273"/>
      <c r="F1" s="273"/>
      <c r="G1" s="273"/>
      <c r="H1" s="273"/>
      <c r="I1" s="273"/>
      <c r="J1" s="273"/>
      <c r="K1" s="273"/>
      <c r="L1" s="273"/>
      <c r="M1" s="273"/>
      <c r="N1" s="273"/>
      <c r="O1" s="273"/>
      <c r="P1" s="273"/>
      <c r="Q1" s="274"/>
      <c r="R1" s="275" t="s">
        <v>79</v>
      </c>
      <c r="S1" s="276"/>
      <c r="T1" s="277"/>
      <c r="U1" s="117" t="s">
        <v>51</v>
      </c>
      <c r="V1" s="97" t="s">
        <v>33</v>
      </c>
      <c r="W1" s="70"/>
      <c r="X1" s="70"/>
      <c r="Y1" s="5"/>
      <c r="Z1" s="5"/>
    </row>
    <row r="2" spans="1:31" s="4" customFormat="1" ht="15" customHeight="1">
      <c r="A2" s="126"/>
      <c r="B2" s="207"/>
      <c r="C2" s="207"/>
      <c r="D2" s="207"/>
      <c r="E2" s="68"/>
      <c r="F2" s="207"/>
      <c r="G2" s="207"/>
      <c r="H2" s="207"/>
      <c r="I2" s="207"/>
      <c r="J2" s="69"/>
      <c r="K2" s="207"/>
      <c r="L2" s="207"/>
      <c r="M2" s="207"/>
      <c r="N2" s="207"/>
      <c r="O2" s="207"/>
      <c r="P2" s="207"/>
      <c r="Q2" s="207"/>
      <c r="R2" s="207"/>
      <c r="S2" s="207"/>
      <c r="T2" s="46"/>
      <c r="U2" s="67">
        <f>MAX(F10:F19)</f>
        <v>25</v>
      </c>
      <c r="V2" s="98">
        <v>31</v>
      </c>
      <c r="W2" s="70"/>
      <c r="X2" s="70"/>
      <c r="Y2" s="5"/>
      <c r="Z2" s="5"/>
    </row>
    <row r="3" spans="1:31" s="4" customFormat="1" ht="15" customHeight="1">
      <c r="A3" s="126"/>
      <c r="B3" s="207"/>
      <c r="C3" s="207"/>
      <c r="D3" s="207"/>
      <c r="E3" s="68"/>
      <c r="F3" s="207"/>
      <c r="G3" s="207"/>
      <c r="H3" s="207"/>
      <c r="I3" s="207"/>
      <c r="J3" s="69"/>
      <c r="K3" s="207"/>
      <c r="L3" s="207"/>
      <c r="M3" s="207"/>
      <c r="N3" s="207"/>
      <c r="O3" s="207"/>
      <c r="P3" s="207"/>
      <c r="Q3" s="207"/>
      <c r="R3" s="207"/>
      <c r="S3" s="207"/>
      <c r="T3" s="46"/>
      <c r="U3" s="118"/>
      <c r="V3" s="119"/>
      <c r="W3" s="70"/>
      <c r="X3" s="70"/>
      <c r="Y3" s="5"/>
      <c r="Z3" s="5"/>
    </row>
    <row r="4" spans="1:31" s="92" customFormat="1" ht="14.25" customHeight="1">
      <c r="A4" s="90"/>
      <c r="B4" s="91"/>
      <c r="C4" s="91"/>
      <c r="D4" s="91"/>
      <c r="E4" s="175">
        <f>'CC -4'!$E$4</f>
        <v>42826</v>
      </c>
      <c r="F4" s="91"/>
      <c r="G4" s="91"/>
      <c r="H4" s="91"/>
      <c r="I4" s="91"/>
      <c r="J4" s="91"/>
      <c r="K4" s="91"/>
      <c r="L4" s="91"/>
      <c r="M4" s="91"/>
      <c r="N4" s="148">
        <v>0.08</v>
      </c>
      <c r="O4" s="148">
        <v>1.4999999999999999E-2</v>
      </c>
      <c r="P4" s="148">
        <v>0.01</v>
      </c>
      <c r="Q4" s="91"/>
      <c r="R4" s="91"/>
      <c r="S4" s="91"/>
      <c r="T4" s="91"/>
      <c r="U4" s="91"/>
      <c r="V4" s="93"/>
      <c r="W4" s="93"/>
      <c r="X4" s="93"/>
      <c r="Y4" s="93"/>
      <c r="Z4" s="93"/>
    </row>
    <row r="5" spans="1:31" s="21" customFormat="1" ht="24" customHeight="1">
      <c r="A5" s="278" t="s">
        <v>19</v>
      </c>
      <c r="B5" s="278" t="s">
        <v>20</v>
      </c>
      <c r="C5" s="232" t="s">
        <v>1</v>
      </c>
      <c r="D5" s="232" t="s">
        <v>2</v>
      </c>
      <c r="E5" s="235" t="s">
        <v>49</v>
      </c>
      <c r="F5" s="280" t="s">
        <v>24</v>
      </c>
      <c r="G5" s="281"/>
      <c r="H5" s="281"/>
      <c r="I5" s="281"/>
      <c r="J5" s="281"/>
      <c r="K5" s="282"/>
      <c r="L5" s="269" t="s">
        <v>50</v>
      </c>
      <c r="M5" s="269" t="s">
        <v>5</v>
      </c>
      <c r="N5" s="232" t="s">
        <v>6</v>
      </c>
      <c r="O5" s="232"/>
      <c r="P5" s="232"/>
      <c r="Q5" s="269" t="s">
        <v>7</v>
      </c>
      <c r="R5" s="269" t="s">
        <v>8</v>
      </c>
      <c r="S5" s="269" t="s">
        <v>9</v>
      </c>
      <c r="T5" s="233" t="s">
        <v>10</v>
      </c>
      <c r="U5" s="91"/>
      <c r="V5" s="22"/>
      <c r="W5" s="22"/>
      <c r="X5" s="5"/>
      <c r="Y5" s="5"/>
      <c r="Z5" s="5"/>
      <c r="AA5" s="4"/>
      <c r="AB5" s="4"/>
      <c r="AC5" s="4"/>
      <c r="AD5" s="4"/>
      <c r="AE5" s="4"/>
    </row>
    <row r="6" spans="1:31" s="21" customFormat="1" ht="33.75" customHeight="1">
      <c r="A6" s="279"/>
      <c r="B6" s="279"/>
      <c r="C6" s="232"/>
      <c r="D6" s="232"/>
      <c r="E6" s="235"/>
      <c r="F6" s="280" t="s">
        <v>52</v>
      </c>
      <c r="G6" s="282"/>
      <c r="H6" s="280" t="s">
        <v>71</v>
      </c>
      <c r="I6" s="281"/>
      <c r="J6" s="267" t="s">
        <v>25</v>
      </c>
      <c r="K6" s="269" t="s">
        <v>4</v>
      </c>
      <c r="L6" s="270"/>
      <c r="M6" s="270"/>
      <c r="N6" s="271" t="s">
        <v>12</v>
      </c>
      <c r="O6" s="269" t="s">
        <v>13</v>
      </c>
      <c r="P6" s="269" t="s">
        <v>31</v>
      </c>
      <c r="Q6" s="270"/>
      <c r="R6" s="270"/>
      <c r="S6" s="270"/>
      <c r="T6" s="234"/>
      <c r="U6" s="91"/>
      <c r="V6" s="22"/>
      <c r="W6" s="22"/>
      <c r="X6" s="5"/>
      <c r="Y6" s="5"/>
      <c r="Z6" s="5"/>
      <c r="AA6" s="4"/>
      <c r="AB6" s="4"/>
      <c r="AC6" s="4"/>
      <c r="AD6" s="4"/>
      <c r="AE6" s="4"/>
    </row>
    <row r="7" spans="1:31" s="21" customFormat="1" ht="35.25" customHeight="1">
      <c r="A7" s="279"/>
      <c r="B7" s="279"/>
      <c r="C7" s="269"/>
      <c r="D7" s="269"/>
      <c r="E7" s="235"/>
      <c r="F7" s="206" t="s">
        <v>34</v>
      </c>
      <c r="G7" s="204" t="s">
        <v>18</v>
      </c>
      <c r="H7" s="206" t="s">
        <v>34</v>
      </c>
      <c r="I7" s="115" t="s">
        <v>18</v>
      </c>
      <c r="J7" s="268"/>
      <c r="K7" s="270"/>
      <c r="L7" s="283"/>
      <c r="M7" s="283"/>
      <c r="N7" s="272"/>
      <c r="O7" s="270"/>
      <c r="P7" s="270"/>
      <c r="Q7" s="270"/>
      <c r="R7" s="270"/>
      <c r="S7" s="270"/>
      <c r="T7" s="234"/>
      <c r="U7" s="91"/>
      <c r="V7" s="22"/>
      <c r="W7" s="22"/>
      <c r="X7" s="5"/>
      <c r="Y7" s="5"/>
      <c r="Z7" s="5"/>
      <c r="AA7" s="4"/>
      <c r="AB7" s="4"/>
      <c r="AC7" s="4"/>
      <c r="AD7" s="4"/>
      <c r="AE7" s="4"/>
    </row>
    <row r="8" spans="1:31" s="72" customFormat="1" ht="12.75" customHeight="1">
      <c r="A8" s="71">
        <v>1</v>
      </c>
      <c r="B8" s="71">
        <v>1</v>
      </c>
      <c r="C8" s="71">
        <v>2</v>
      </c>
      <c r="D8" s="71">
        <v>3</v>
      </c>
      <c r="E8" s="71">
        <v>4</v>
      </c>
      <c r="F8" s="71">
        <v>5</v>
      </c>
      <c r="G8" s="71">
        <v>6</v>
      </c>
      <c r="H8" s="71">
        <v>7</v>
      </c>
      <c r="I8" s="71">
        <v>8</v>
      </c>
      <c r="J8" s="71">
        <v>9</v>
      </c>
      <c r="K8" s="71">
        <v>10</v>
      </c>
      <c r="L8" s="71">
        <v>11</v>
      </c>
      <c r="M8" s="71">
        <v>12</v>
      </c>
      <c r="N8" s="71">
        <v>13</v>
      </c>
      <c r="O8" s="71">
        <v>14</v>
      </c>
      <c r="P8" s="71">
        <v>15</v>
      </c>
      <c r="Q8" s="71">
        <v>16</v>
      </c>
      <c r="R8" s="71">
        <v>17</v>
      </c>
      <c r="S8" s="71">
        <v>18</v>
      </c>
      <c r="T8" s="71">
        <v>19</v>
      </c>
      <c r="U8" s="91"/>
      <c r="V8" s="73"/>
      <c r="W8" s="73"/>
      <c r="X8" s="74"/>
      <c r="Y8" s="74"/>
      <c r="Z8" s="74"/>
      <c r="AA8" s="75"/>
      <c r="AB8" s="75"/>
      <c r="AC8" s="75"/>
      <c r="AD8" s="75"/>
      <c r="AE8" s="75"/>
    </row>
    <row r="9" spans="1:31" s="72" customFormat="1" ht="24" customHeight="1">
      <c r="A9" s="174" t="s">
        <v>68</v>
      </c>
      <c r="B9" s="173" t="s">
        <v>80</v>
      </c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2"/>
      <c r="Q9" s="172"/>
      <c r="R9" s="172"/>
      <c r="S9" s="172"/>
      <c r="T9" s="172"/>
      <c r="U9" s="91"/>
      <c r="V9" s="73"/>
      <c r="W9" s="73"/>
      <c r="X9" s="74"/>
      <c r="Y9" s="74"/>
      <c r="Z9" s="74"/>
      <c r="AA9" s="75"/>
      <c r="AB9" s="75"/>
      <c r="AC9" s="75"/>
      <c r="AD9" s="75"/>
      <c r="AE9" s="75"/>
    </row>
    <row r="10" spans="1:31" s="29" customFormat="1" ht="24" customHeight="1">
      <c r="A10" s="31">
        <v>1</v>
      </c>
      <c r="B10" s="128" t="s">
        <v>74</v>
      </c>
      <c r="C10" s="76" t="str">
        <f t="shared" ref="C10" si="0">VLOOKUP(B10,DS,2,0)</f>
        <v>Nguyễn Thị Kim Quyên</v>
      </c>
      <c r="D10" s="103" t="str">
        <f t="shared" ref="D10" si="1">VLOOKUP(B10,DS,3,0)</f>
        <v>Văn Phòng</v>
      </c>
      <c r="E10" s="77">
        <f t="shared" ref="E10" si="2">VLOOKUP(B10,DS,4,0)</f>
        <v>4000000</v>
      </c>
      <c r="F10" s="79">
        <f>VLOOKUP(B10,'CC -4'!$B$8:$AR$19,35,0)</f>
        <v>25</v>
      </c>
      <c r="G10" s="132">
        <f t="shared" ref="G10" si="3">ROUND(E10/$U$2*F10,0)</f>
        <v>4000000</v>
      </c>
      <c r="H10" s="79">
        <f>(VLOOKUP(B10,'CC -4'!$B$8:$AR$19,36,0)+VLOOKUP(B10,'CC -4'!$B$8:$AR$19,37,0))</f>
        <v>0</v>
      </c>
      <c r="I10" s="132">
        <f t="shared" ref="I10" si="4">ROUND(E10/$U$2*H10,0)</f>
        <v>0</v>
      </c>
      <c r="J10" s="80">
        <f t="shared" ref="J10" si="5">F10+H10</f>
        <v>25</v>
      </c>
      <c r="K10" s="32">
        <f>G10+I10</f>
        <v>4000000</v>
      </c>
      <c r="L10" s="77">
        <f t="shared" ref="L10" si="6">+F10*15000</f>
        <v>375000</v>
      </c>
      <c r="M10" s="33">
        <f t="shared" ref="M10" si="7">K10+L10</f>
        <v>4375000</v>
      </c>
      <c r="N10" s="33">
        <f t="shared" ref="N10:P11" si="8">IF(VLOOKUP($B10,DS,15,0)="x",$E10*N$4,0)</f>
        <v>0</v>
      </c>
      <c r="O10" s="33">
        <f t="shared" si="8"/>
        <v>0</v>
      </c>
      <c r="P10" s="33">
        <f t="shared" si="8"/>
        <v>0</v>
      </c>
      <c r="Q10" s="32">
        <f t="shared" ref="Q10" si="9">M10-SUM(N10:P10)</f>
        <v>4375000</v>
      </c>
      <c r="R10" s="32">
        <f>VLOOKUP(B10,DS,23,0)</f>
        <v>0</v>
      </c>
      <c r="S10" s="38">
        <f t="shared" ref="S10" si="10">Q10-R10</f>
        <v>4375000</v>
      </c>
      <c r="T10" s="32"/>
      <c r="U10" s="91"/>
      <c r="V10" s="30"/>
      <c r="W10" s="22"/>
      <c r="X10" s="5"/>
      <c r="Y10" s="5"/>
      <c r="Z10" s="5"/>
      <c r="AA10" s="4"/>
      <c r="AB10" s="4"/>
      <c r="AC10" s="4"/>
      <c r="AD10" s="4"/>
      <c r="AE10" s="4"/>
    </row>
    <row r="11" spans="1:31" s="29" customFormat="1" ht="24" customHeight="1">
      <c r="A11" s="31">
        <v>2</v>
      </c>
      <c r="B11" s="128" t="s">
        <v>114</v>
      </c>
      <c r="C11" s="76" t="str">
        <f t="shared" ref="C11" si="11">VLOOKUP(B11,DS,2,0)</f>
        <v>Đinh Hoàng Lợi</v>
      </c>
      <c r="D11" s="103" t="str">
        <f t="shared" ref="D11" si="12">VLOOKUP(B11,DS,3,0)</f>
        <v>Tài xế</v>
      </c>
      <c r="E11" s="77">
        <f t="shared" ref="E11" si="13">VLOOKUP(B11,DS,4,0)</f>
        <v>5000000</v>
      </c>
      <c r="F11" s="79">
        <f>VLOOKUP(B11,'CC -4'!$B$8:$AR$19,35,0)</f>
        <v>25</v>
      </c>
      <c r="G11" s="132">
        <f t="shared" ref="G11" si="14">ROUND(E11/$U$2*F11,0)</f>
        <v>5000000</v>
      </c>
      <c r="H11" s="79">
        <f>(VLOOKUP(B11,'CC -4'!$B$8:$AR$19,36,0)+VLOOKUP(B11,'CC -4'!$B$8:$AR$19,37,0))</f>
        <v>0</v>
      </c>
      <c r="I11" s="132">
        <f t="shared" ref="I11" si="15">ROUND(E11/$U$2*H11,0)</f>
        <v>0</v>
      </c>
      <c r="J11" s="80">
        <f t="shared" ref="J11" si="16">F11+H11</f>
        <v>25</v>
      </c>
      <c r="K11" s="32">
        <f>G11+I11</f>
        <v>5000000</v>
      </c>
      <c r="L11" s="77">
        <f t="shared" ref="L11" si="17">+F11*15000</f>
        <v>375000</v>
      </c>
      <c r="M11" s="33">
        <f t="shared" ref="M11" si="18">K11+L11</f>
        <v>5375000</v>
      </c>
      <c r="N11" s="33">
        <f t="shared" si="8"/>
        <v>0</v>
      </c>
      <c r="O11" s="33">
        <f t="shared" si="8"/>
        <v>0</v>
      </c>
      <c r="P11" s="33">
        <f t="shared" si="8"/>
        <v>0</v>
      </c>
      <c r="Q11" s="32">
        <f t="shared" ref="Q11" si="19">M11-SUM(N11:P11)</f>
        <v>5375000</v>
      </c>
      <c r="R11" s="32">
        <f>VLOOKUP(B11,DS,23,0)</f>
        <v>0</v>
      </c>
      <c r="S11" s="38">
        <f t="shared" ref="S11" si="20">Q11-R11</f>
        <v>5375000</v>
      </c>
      <c r="T11" s="32"/>
      <c r="U11" s="91"/>
      <c r="V11" s="30"/>
      <c r="W11" s="22"/>
      <c r="X11" s="5"/>
      <c r="Y11" s="5"/>
      <c r="Z11" s="5"/>
      <c r="AA11" s="4"/>
      <c r="AB11" s="4"/>
      <c r="AC11" s="4"/>
      <c r="AD11" s="4"/>
      <c r="AE11" s="4"/>
    </row>
    <row r="12" spans="1:31" s="29" customFormat="1" ht="24" customHeight="1">
      <c r="A12" s="187"/>
      <c r="B12" s="188"/>
      <c r="C12" s="189"/>
      <c r="D12" s="190"/>
      <c r="E12" s="191"/>
      <c r="F12" s="192"/>
      <c r="G12" s="193"/>
      <c r="H12" s="192"/>
      <c r="I12" s="193"/>
      <c r="J12" s="194"/>
      <c r="K12" s="195"/>
      <c r="L12" s="191"/>
      <c r="M12" s="196"/>
      <c r="N12" s="196"/>
      <c r="O12" s="196"/>
      <c r="P12" s="196"/>
      <c r="Q12" s="195"/>
      <c r="R12" s="195"/>
      <c r="S12" s="197"/>
      <c r="T12" s="195"/>
      <c r="U12" s="91"/>
      <c r="V12" s="30"/>
      <c r="W12" s="22"/>
      <c r="X12" s="5"/>
      <c r="Y12" s="5"/>
      <c r="Z12" s="5"/>
      <c r="AA12" s="4"/>
      <c r="AB12" s="4"/>
      <c r="AC12" s="4"/>
      <c r="AD12" s="4"/>
      <c r="AE12" s="4"/>
    </row>
    <row r="13" spans="1:31" s="25" customFormat="1" ht="21" customHeight="1">
      <c r="A13" s="221" t="s">
        <v>23</v>
      </c>
      <c r="B13" s="222"/>
      <c r="C13" s="222"/>
      <c r="D13" s="223"/>
      <c r="E13" s="127">
        <f>SUM(E9:E10)</f>
        <v>4000000</v>
      </c>
      <c r="F13" s="127"/>
      <c r="G13" s="127">
        <f>SUM(G9:G10)</f>
        <v>4000000</v>
      </c>
      <c r="H13" s="127"/>
      <c r="I13" s="127">
        <f>SUM(I9:I10)</f>
        <v>0</v>
      </c>
      <c r="J13" s="127"/>
      <c r="K13" s="127">
        <f t="shared" ref="K13:S13" si="21">SUM(K9:K10)</f>
        <v>4000000</v>
      </c>
      <c r="L13" s="127">
        <f t="shared" si="21"/>
        <v>375000</v>
      </c>
      <c r="M13" s="127">
        <f t="shared" si="21"/>
        <v>4375000</v>
      </c>
      <c r="N13" s="127">
        <f t="shared" si="21"/>
        <v>0</v>
      </c>
      <c r="O13" s="127">
        <f t="shared" si="21"/>
        <v>0</v>
      </c>
      <c r="P13" s="127">
        <f t="shared" si="21"/>
        <v>0</v>
      </c>
      <c r="Q13" s="127">
        <f t="shared" si="21"/>
        <v>4375000</v>
      </c>
      <c r="R13" s="127">
        <f t="shared" si="21"/>
        <v>0</v>
      </c>
      <c r="S13" s="127">
        <f t="shared" si="21"/>
        <v>4375000</v>
      </c>
      <c r="T13" s="20"/>
      <c r="U13" s="91"/>
      <c r="V13" s="26"/>
      <c r="W13" s="26"/>
      <c r="X13" s="26"/>
      <c r="Y13" s="26"/>
      <c r="Z13" s="26"/>
    </row>
    <row r="14" spans="1:31" s="72" customFormat="1" ht="24" customHeight="1">
      <c r="A14" s="174" t="s">
        <v>69</v>
      </c>
      <c r="B14" s="173" t="s">
        <v>70</v>
      </c>
      <c r="C14" s="172"/>
      <c r="D14" s="172"/>
      <c r="E14" s="172"/>
      <c r="F14" s="172"/>
      <c r="G14" s="172"/>
      <c r="H14" s="172"/>
      <c r="I14" s="172"/>
      <c r="J14" s="172"/>
      <c r="K14" s="172"/>
      <c r="L14" s="172"/>
      <c r="M14" s="172"/>
      <c r="N14" s="172"/>
      <c r="O14" s="172"/>
      <c r="P14" s="172"/>
      <c r="Q14" s="172"/>
      <c r="R14" s="172"/>
      <c r="S14" s="172"/>
      <c r="T14" s="172"/>
      <c r="U14" s="91"/>
      <c r="V14" s="73"/>
      <c r="W14" s="73"/>
      <c r="X14" s="74"/>
      <c r="Y14" s="74"/>
      <c r="Z14" s="74"/>
      <c r="AA14" s="75"/>
      <c r="AB14" s="75"/>
      <c r="AC14" s="75"/>
      <c r="AD14" s="75"/>
      <c r="AE14" s="75"/>
    </row>
    <row r="15" spans="1:31" s="29" customFormat="1" ht="24" customHeight="1">
      <c r="A15" s="31">
        <v>1</v>
      </c>
      <c r="B15" s="128" t="s">
        <v>75</v>
      </c>
      <c r="C15" s="76" t="str">
        <f t="shared" ref="C15" si="22">VLOOKUP(B15,DS,2,0)</f>
        <v>Lê Văn Hữu</v>
      </c>
      <c r="D15" s="103" t="str">
        <f t="shared" ref="D15" si="23">VLOOKUP(B15,DS,3,0)</f>
        <v>Công Đoạn 1</v>
      </c>
      <c r="E15" s="77">
        <f t="shared" ref="E15" si="24">VLOOKUP(B15,DS,4,0)</f>
        <v>3200000</v>
      </c>
      <c r="F15" s="79">
        <f>VLOOKUP(B15,'CC -4'!$B$8:$AR$19,35,0)</f>
        <v>25</v>
      </c>
      <c r="G15" s="132">
        <f t="shared" ref="G15" si="25">ROUND(E15/$U$2*F15,0)</f>
        <v>3200000</v>
      </c>
      <c r="H15" s="79">
        <f>(VLOOKUP(B15,'CC -4'!$B$8:$AR$19,36,0)+VLOOKUP(B15,'CC -4'!$B$8:$AR$19,37,0))</f>
        <v>0</v>
      </c>
      <c r="I15" s="132">
        <f t="shared" ref="I15" si="26">ROUND(E15/$U$2*H15,0)</f>
        <v>0</v>
      </c>
      <c r="J15" s="133">
        <f t="shared" ref="J15:K15" si="27">F15+H15</f>
        <v>25</v>
      </c>
      <c r="K15" s="32">
        <f t="shared" si="27"/>
        <v>3200000</v>
      </c>
      <c r="L15" s="77">
        <f t="shared" ref="L15" si="28">+F15*15000</f>
        <v>375000</v>
      </c>
      <c r="M15" s="33">
        <f t="shared" ref="M15" si="29">K15+L15</f>
        <v>3575000</v>
      </c>
      <c r="N15" s="33">
        <f t="shared" ref="N15:P17" si="30">IF(VLOOKUP($B15,DS,15,0)="x",$E15*N$4,0)</f>
        <v>0</v>
      </c>
      <c r="O15" s="33">
        <f t="shared" si="30"/>
        <v>0</v>
      </c>
      <c r="P15" s="33">
        <f t="shared" si="30"/>
        <v>0</v>
      </c>
      <c r="Q15" s="32">
        <f>M15-SUM(N15:P15)</f>
        <v>3575000</v>
      </c>
      <c r="R15" s="32">
        <f t="shared" ref="R15" si="31">VLOOKUP(B15,DS,23,0)</f>
        <v>0</v>
      </c>
      <c r="S15" s="38">
        <f>Q15-R15</f>
        <v>3575000</v>
      </c>
      <c r="T15" s="32"/>
      <c r="U15" s="91"/>
      <c r="V15" s="30"/>
      <c r="W15" s="22"/>
      <c r="X15" s="5"/>
      <c r="Y15" s="5"/>
      <c r="Z15" s="5"/>
      <c r="AA15" s="4"/>
      <c r="AB15" s="4"/>
      <c r="AC15" s="4"/>
      <c r="AD15" s="4"/>
      <c r="AE15" s="4"/>
    </row>
    <row r="16" spans="1:31" s="29" customFormat="1" ht="24" customHeight="1">
      <c r="A16" s="31">
        <v>2</v>
      </c>
      <c r="B16" s="128" t="s">
        <v>76</v>
      </c>
      <c r="C16" s="76" t="str">
        <f t="shared" ref="C16:C17" si="32">VLOOKUP(B16,DS,2,0)</f>
        <v>Lý Thanh Hải</v>
      </c>
      <c r="D16" s="103" t="str">
        <f t="shared" ref="D16:D17" si="33">VLOOKUP(B16,DS,3,0)</f>
        <v>Công Đoạn 1</v>
      </c>
      <c r="E16" s="77">
        <f t="shared" ref="E16:E17" si="34">VLOOKUP(B16,DS,4,0)</f>
        <v>5000000</v>
      </c>
      <c r="F16" s="79">
        <f>VLOOKUP(B16,'CC -4'!$B$8:$AR$19,35,0)</f>
        <v>25</v>
      </c>
      <c r="G16" s="132">
        <f t="shared" ref="G16:G17" si="35">ROUND(E16/$U$2*F16,0)</f>
        <v>5000000</v>
      </c>
      <c r="H16" s="79">
        <f>(VLOOKUP(B16,'CC -4'!$B$8:$AR$19,36,0)+VLOOKUP(B16,'CC -4'!$B$8:$AR$19,37,0))</f>
        <v>0</v>
      </c>
      <c r="I16" s="132">
        <f t="shared" ref="I16:I17" si="36">ROUND(E16/$U$2*H16,0)</f>
        <v>0</v>
      </c>
      <c r="J16" s="133">
        <f t="shared" ref="J16:J17" si="37">F16+H16</f>
        <v>25</v>
      </c>
      <c r="K16" s="32">
        <f t="shared" ref="K16:K17" si="38">G16+I16</f>
        <v>5000000</v>
      </c>
      <c r="L16" s="77">
        <f t="shared" ref="L16:L17" si="39">+F16*15000</f>
        <v>375000</v>
      </c>
      <c r="M16" s="33">
        <f t="shared" ref="M16:M17" si="40">K16+L16</f>
        <v>5375000</v>
      </c>
      <c r="N16" s="33">
        <f t="shared" si="30"/>
        <v>0</v>
      </c>
      <c r="O16" s="33">
        <f t="shared" si="30"/>
        <v>0</v>
      </c>
      <c r="P16" s="33">
        <f t="shared" si="30"/>
        <v>0</v>
      </c>
      <c r="Q16" s="32">
        <f t="shared" ref="Q16:Q17" si="41">M16-SUM(N16:P16)</f>
        <v>5375000</v>
      </c>
      <c r="R16" s="32">
        <f t="shared" ref="R16:R17" si="42">VLOOKUP(B16,DS,23,0)</f>
        <v>0</v>
      </c>
      <c r="S16" s="38">
        <f t="shared" ref="S16:S17" si="43">Q16-R16</f>
        <v>5375000</v>
      </c>
      <c r="T16" s="32"/>
      <c r="U16" s="91"/>
      <c r="V16" s="30"/>
      <c r="W16" s="22"/>
      <c r="X16" s="5"/>
      <c r="Y16" s="5"/>
      <c r="Z16" s="5"/>
      <c r="AA16" s="4"/>
      <c r="AB16" s="4"/>
      <c r="AC16" s="4"/>
      <c r="AD16" s="4"/>
      <c r="AE16" s="4"/>
    </row>
    <row r="17" spans="1:31" s="29" customFormat="1" ht="24" customHeight="1">
      <c r="A17" s="31">
        <v>3</v>
      </c>
      <c r="B17" s="128" t="s">
        <v>77</v>
      </c>
      <c r="C17" s="76" t="str">
        <f t="shared" si="32"/>
        <v>Cao Minh Chí</v>
      </c>
      <c r="D17" s="103" t="str">
        <f t="shared" si="33"/>
        <v>Công Đoạn 2</v>
      </c>
      <c r="E17" s="77">
        <f t="shared" si="34"/>
        <v>3200000</v>
      </c>
      <c r="F17" s="79">
        <f>VLOOKUP(B17,'CC -4'!$B$8:$AR$19,35,0)</f>
        <v>25</v>
      </c>
      <c r="G17" s="132">
        <f t="shared" si="35"/>
        <v>3200000</v>
      </c>
      <c r="H17" s="79">
        <f>(VLOOKUP(B17,'CC -4'!$B$8:$AR$19,36,0)+VLOOKUP(B17,'CC -4'!$B$8:$AR$19,37,0))</f>
        <v>0</v>
      </c>
      <c r="I17" s="132">
        <f t="shared" si="36"/>
        <v>0</v>
      </c>
      <c r="J17" s="133">
        <f t="shared" si="37"/>
        <v>25</v>
      </c>
      <c r="K17" s="32">
        <f t="shared" si="38"/>
        <v>3200000</v>
      </c>
      <c r="L17" s="77">
        <f t="shared" si="39"/>
        <v>375000</v>
      </c>
      <c r="M17" s="33">
        <f t="shared" si="40"/>
        <v>3575000</v>
      </c>
      <c r="N17" s="33">
        <f t="shared" si="30"/>
        <v>0</v>
      </c>
      <c r="O17" s="33">
        <f t="shared" si="30"/>
        <v>0</v>
      </c>
      <c r="P17" s="33">
        <f t="shared" si="30"/>
        <v>0</v>
      </c>
      <c r="Q17" s="32">
        <f t="shared" si="41"/>
        <v>3575000</v>
      </c>
      <c r="R17" s="32">
        <f t="shared" si="42"/>
        <v>0</v>
      </c>
      <c r="S17" s="38">
        <f t="shared" si="43"/>
        <v>3575000</v>
      </c>
      <c r="T17" s="32"/>
      <c r="U17" s="91"/>
      <c r="V17" s="30"/>
      <c r="W17" s="22"/>
      <c r="X17" s="5"/>
      <c r="Y17" s="5"/>
      <c r="Z17" s="5"/>
      <c r="AA17" s="4"/>
      <c r="AB17" s="4"/>
      <c r="AC17" s="4"/>
      <c r="AD17" s="4"/>
      <c r="AE17" s="4"/>
    </row>
    <row r="18" spans="1:31" s="29" customFormat="1" ht="22.5" customHeight="1">
      <c r="A18" s="34"/>
      <c r="B18" s="171"/>
      <c r="C18" s="35"/>
      <c r="D18" s="3"/>
      <c r="E18" s="36"/>
      <c r="F18" s="36"/>
      <c r="G18" s="36"/>
      <c r="H18" s="36"/>
      <c r="I18" s="36"/>
      <c r="J18" s="37"/>
      <c r="K18" s="36"/>
      <c r="L18" s="36"/>
      <c r="M18" s="170"/>
      <c r="N18" s="36"/>
      <c r="O18" s="36"/>
      <c r="P18" s="36"/>
      <c r="Q18" s="36"/>
      <c r="R18" s="36"/>
      <c r="S18" s="36"/>
      <c r="T18" s="32"/>
      <c r="U18" s="91"/>
      <c r="V18" s="30"/>
      <c r="W18" s="30"/>
      <c r="X18" s="30"/>
      <c r="Y18" s="30"/>
      <c r="Z18" s="30"/>
    </row>
    <row r="19" spans="1:31" s="25" customFormat="1" ht="21" customHeight="1">
      <c r="A19" s="221" t="s">
        <v>23</v>
      </c>
      <c r="B19" s="222"/>
      <c r="C19" s="222"/>
      <c r="D19" s="223"/>
      <c r="E19" s="127">
        <f>SUM(E14:E18)</f>
        <v>11400000</v>
      </c>
      <c r="F19" s="127"/>
      <c r="G19" s="127">
        <f>SUM(G14:G18)</f>
        <v>11400000</v>
      </c>
      <c r="H19" s="127"/>
      <c r="I19" s="127">
        <f>SUM(I14:I18)</f>
        <v>0</v>
      </c>
      <c r="J19" s="127"/>
      <c r="K19" s="127">
        <f t="shared" ref="K19:S19" si="44">SUM(K14:K18)</f>
        <v>11400000</v>
      </c>
      <c r="L19" s="127">
        <f t="shared" si="44"/>
        <v>1125000</v>
      </c>
      <c r="M19" s="127">
        <f t="shared" si="44"/>
        <v>12525000</v>
      </c>
      <c r="N19" s="127">
        <f t="shared" si="44"/>
        <v>0</v>
      </c>
      <c r="O19" s="127">
        <f t="shared" si="44"/>
        <v>0</v>
      </c>
      <c r="P19" s="127">
        <f t="shared" si="44"/>
        <v>0</v>
      </c>
      <c r="Q19" s="127">
        <f t="shared" si="44"/>
        <v>12525000</v>
      </c>
      <c r="R19" s="127">
        <f t="shared" si="44"/>
        <v>0</v>
      </c>
      <c r="S19" s="127">
        <f t="shared" si="44"/>
        <v>12525000</v>
      </c>
      <c r="T19" s="20"/>
      <c r="U19" s="91"/>
      <c r="V19" s="26"/>
      <c r="W19" s="26"/>
      <c r="X19" s="26"/>
      <c r="Y19" s="26"/>
      <c r="Z19" s="26"/>
    </row>
    <row r="20" spans="1:31" ht="11.25" customHeight="1">
      <c r="A20" s="8"/>
      <c r="B20" s="8"/>
      <c r="C20" s="9"/>
      <c r="D20" s="104"/>
      <c r="E20" s="81"/>
      <c r="F20" s="9"/>
      <c r="G20" s="9"/>
      <c r="H20" s="9"/>
      <c r="I20" s="9"/>
      <c r="K20" s="9"/>
      <c r="L20" s="9"/>
      <c r="M20" s="89"/>
      <c r="N20" s="9"/>
      <c r="O20" s="9"/>
      <c r="P20" s="9"/>
      <c r="Q20" s="9"/>
      <c r="R20" s="9"/>
      <c r="S20" s="9"/>
      <c r="T20" s="9"/>
      <c r="U20" s="91"/>
    </row>
    <row r="21" spans="1:31" s="29" customFormat="1" ht="11.25" customHeight="1">
      <c r="A21" s="65"/>
      <c r="B21" s="65"/>
      <c r="C21" s="65"/>
      <c r="D21" s="120"/>
      <c r="E21" s="121"/>
      <c r="F21" s="65"/>
      <c r="G21" s="65"/>
      <c r="H21" s="65"/>
      <c r="I21" s="65"/>
      <c r="J21" s="122"/>
      <c r="K21" s="121"/>
      <c r="L21" s="65"/>
      <c r="M21" s="65"/>
      <c r="N21" s="65"/>
      <c r="O21" s="65"/>
      <c r="P21" s="65"/>
      <c r="Q21" s="65"/>
      <c r="R21" s="65"/>
      <c r="S21" s="95" t="str">
        <f>"Bình Chánh, ngày  "&amp;$V$2&amp;"   tháng   "&amp;TEXT($E$4,"mm")&amp;"   năm "&amp;TEXT($E$4,"yyyy")</f>
        <v>Bình Chánh, ngày  31   tháng   04   năm 2017</v>
      </c>
      <c r="T21" s="65"/>
      <c r="U21" s="123"/>
      <c r="V21" s="30"/>
      <c r="W21" s="30"/>
      <c r="X21" s="30"/>
      <c r="Y21" s="30"/>
      <c r="Z21" s="30"/>
    </row>
    <row r="22" spans="1:31" s="29" customFormat="1" ht="12.75">
      <c r="A22" s="23"/>
      <c r="B22" s="23"/>
      <c r="C22" s="23" t="s">
        <v>53</v>
      </c>
      <c r="D22" s="124"/>
      <c r="E22" s="66"/>
      <c r="F22" s="123"/>
      <c r="G22" s="66"/>
      <c r="H22" s="66"/>
      <c r="I22" s="66"/>
      <c r="J22" s="125"/>
      <c r="K22" s="30"/>
      <c r="L22" s="23"/>
      <c r="M22" s="134"/>
      <c r="N22" s="19"/>
      <c r="O22" s="19"/>
      <c r="P22" s="19"/>
      <c r="Q22" s="19"/>
      <c r="S22" s="123" t="s">
        <v>21</v>
      </c>
      <c r="T22" s="123"/>
      <c r="U22" s="123"/>
      <c r="V22" s="30"/>
      <c r="W22" s="30"/>
      <c r="X22" s="30"/>
      <c r="Y22" s="30"/>
      <c r="Z22" s="30"/>
    </row>
    <row r="23" spans="1:31" ht="12">
      <c r="A23" s="8"/>
      <c r="B23" s="8"/>
      <c r="C23" s="15"/>
      <c r="E23" s="13"/>
      <c r="F23" s="12"/>
      <c r="G23" s="13"/>
      <c r="H23" s="13"/>
      <c r="I23" s="13"/>
      <c r="K23" s="7"/>
      <c r="L23" s="15"/>
      <c r="N23" s="11"/>
      <c r="O23" s="11"/>
      <c r="P23" s="11"/>
      <c r="Q23" s="11"/>
      <c r="S23" s="11"/>
      <c r="T23" s="12"/>
      <c r="U23" s="91"/>
    </row>
    <row r="24" spans="1:31" ht="12">
      <c r="C24" s="15"/>
      <c r="L24" s="15"/>
      <c r="T24" s="15"/>
      <c r="U24" s="91"/>
    </row>
    <row r="25" spans="1:31" ht="12">
      <c r="U25" s="91"/>
    </row>
    <row r="26" spans="1:31" ht="12">
      <c r="U26" s="91"/>
    </row>
    <row r="27" spans="1:31" ht="12">
      <c r="U27" s="91"/>
    </row>
    <row r="28" spans="1:31" ht="12">
      <c r="U28" s="91"/>
    </row>
    <row r="29" spans="1:31" ht="12">
      <c r="U29" s="91"/>
    </row>
    <row r="30" spans="1:31" ht="12">
      <c r="U30" s="91"/>
    </row>
  </sheetData>
  <protectedRanges>
    <protectedRange password="CC78" sqref="V18:IK19 C5:D7 B22:C22 V5:W9 A18:A23 B18:B21 B23 V14:W14 Q5:T7 E5:I6 N5:P6 L5 L22 J6:K7 L7 A25:T58 U31:U58 N18:S18 V25:IK58 J18:L18 A59:IK65326 AF14:IK14 V13:IK13 D13:T13 D19:T19 W10:W12 AF5:IK12 A10:B13 Q10:S12" name="Range1"/>
    <protectedRange password="CC78" sqref="F7:H7" name="Range1_4"/>
    <protectedRange password="CC78" sqref="V22:IK23 S22:T23 N22:Q23 E22:I23" name="Range1_1_1"/>
    <protectedRange password="CC78" sqref="U1 W1:IK3 V4:IK4 B4:T4 R2:S3 B1:Q3 U18:U30 X14:AE14 U4:U14 X5:AE12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Q15:S17 AF15:IK17 W15:W17 A15:B17" name="Range1_5"/>
    <protectedRange password="CC78" sqref="X15:AE17 U15:U17" name="Range1_2_3"/>
    <protectedRange password="CC78" sqref="V15:V17" name="Range1_1_3"/>
    <protectedRange password="CC78" sqref="K15:K17 K10:K12" name="Range1_6"/>
    <protectedRange password="CC78" sqref="A2:A3" name="Range1_2_1_3"/>
    <protectedRange password="CC78" sqref="U2" name="Range1_2_2_1_1"/>
  </protectedRanges>
  <autoFilter ref="A7:AE10"/>
  <mergeCells count="22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C00000"/>
  </sheetPr>
  <dimension ref="A1:CM34"/>
  <sheetViews>
    <sheetView zoomScaleNormal="115" workbookViewId="0">
      <pane xSplit="3" ySplit="6" topLeftCell="D7" activePane="bottomRight" state="frozen"/>
      <selection activeCell="A2" sqref="A2:A3"/>
      <selection pane="topRight" activeCell="A2" sqref="A2:A3"/>
      <selection pane="bottomLeft" activeCell="A2" sqref="A2:A3"/>
      <selection pane="bottomRight" activeCell="F12" sqref="F12:AJ1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02" customWidth="1"/>
    <col min="5" max="5" width="7.140625" style="2" customWidth="1"/>
    <col min="6" max="33" width="3.42578125" style="110" customWidth="1"/>
    <col min="34" max="36" width="3.42578125" style="111" customWidth="1"/>
    <col min="37" max="38" width="4.42578125" style="2" customWidth="1"/>
    <col min="39" max="39" width="5.5703125" style="8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6"/>
      <c r="B1" s="41"/>
      <c r="C1" s="41"/>
      <c r="D1" s="45"/>
      <c r="E1" s="41"/>
      <c r="F1" s="45"/>
      <c r="G1" s="45"/>
      <c r="H1" s="45"/>
      <c r="I1" s="45"/>
      <c r="J1" s="45"/>
      <c r="K1" s="106"/>
      <c r="L1" s="106"/>
      <c r="M1" s="106"/>
      <c r="N1" s="106"/>
      <c r="O1" s="106"/>
      <c r="P1" s="106"/>
      <c r="Q1" s="106"/>
      <c r="R1" s="106"/>
      <c r="S1" s="43" t="str">
        <f>CONCATENATE("BẢNG CHẤM CÔNG THÁNG ",TEXT($E$4,"mm")," NĂM ",TEXT($E$4,"yyyy"))</f>
        <v>BẢNG CHẤM CÔNG THÁNG 05 NĂM 2017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42"/>
      <c r="AL1" s="42"/>
      <c r="AM1" s="259" t="s">
        <v>79</v>
      </c>
      <c r="AN1" s="260"/>
      <c r="AO1" s="260"/>
      <c r="AP1" s="260"/>
      <c r="AQ1" s="260"/>
      <c r="AR1" s="260"/>
      <c r="AS1" s="261"/>
      <c r="AT1" s="44"/>
    </row>
    <row r="2" spans="1:91" ht="20.25">
      <c r="A2" s="126"/>
      <c r="B2" s="45"/>
      <c r="C2" s="45"/>
      <c r="D2" s="45"/>
      <c r="E2" s="45"/>
      <c r="F2" s="45"/>
      <c r="G2" s="45"/>
      <c r="H2" s="45"/>
      <c r="I2" s="45"/>
      <c r="J2" s="45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42"/>
      <c r="AL2" s="42"/>
      <c r="AM2" s="83"/>
      <c r="AN2" s="46"/>
      <c r="AO2" s="46"/>
      <c r="AP2" s="46"/>
      <c r="AQ2" s="46"/>
      <c r="AR2" s="46"/>
      <c r="AS2" s="82"/>
      <c r="AT2" s="82"/>
    </row>
    <row r="3" spans="1:91" ht="21" customHeight="1">
      <c r="A3" s="126"/>
      <c r="B3" s="47"/>
      <c r="C3" s="47"/>
      <c r="D3" s="48"/>
      <c r="E3" s="48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42"/>
      <c r="AL3" s="42"/>
      <c r="AM3" s="83"/>
      <c r="AN3" s="44"/>
      <c r="AO3" s="44"/>
      <c r="AP3" s="44"/>
      <c r="AQ3" s="44"/>
      <c r="AR3" s="44"/>
      <c r="AS3" s="49"/>
      <c r="AT3" s="49"/>
    </row>
    <row r="4" spans="1:91" ht="14.25" customHeight="1">
      <c r="A4" s="50"/>
      <c r="B4" s="50"/>
      <c r="C4" s="142"/>
      <c r="D4" s="141"/>
      <c r="E4" s="51">
        <v>42856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3"/>
      <c r="AI4" s="53"/>
      <c r="AJ4" s="53"/>
      <c r="AK4" s="50"/>
      <c r="AL4" s="50"/>
      <c r="AM4" s="84"/>
      <c r="AN4" s="50"/>
      <c r="AO4" s="50"/>
      <c r="AP4" s="50"/>
      <c r="AQ4" s="50"/>
      <c r="AR4" s="50"/>
      <c r="AS4" s="50"/>
      <c r="AT4" s="88"/>
    </row>
    <row r="5" spans="1:91" s="54" customFormat="1" ht="18.75" customHeight="1">
      <c r="A5" s="256" t="s">
        <v>26</v>
      </c>
      <c r="B5" s="256" t="s">
        <v>3</v>
      </c>
      <c r="C5" s="256" t="s">
        <v>1</v>
      </c>
      <c r="D5" s="258" t="s">
        <v>27</v>
      </c>
      <c r="E5" s="256" t="s">
        <v>28</v>
      </c>
      <c r="F5" s="105">
        <f>+E4</f>
        <v>42856</v>
      </c>
      <c r="G5" s="105">
        <f t="shared" ref="G5:AJ5" si="0">F5+1</f>
        <v>42857</v>
      </c>
      <c r="H5" s="105">
        <f t="shared" si="0"/>
        <v>42858</v>
      </c>
      <c r="I5" s="105">
        <f t="shared" si="0"/>
        <v>42859</v>
      </c>
      <c r="J5" s="105">
        <f t="shared" si="0"/>
        <v>42860</v>
      </c>
      <c r="K5" s="105">
        <f t="shared" si="0"/>
        <v>42861</v>
      </c>
      <c r="L5" s="105">
        <f t="shared" si="0"/>
        <v>42862</v>
      </c>
      <c r="M5" s="105">
        <f t="shared" si="0"/>
        <v>42863</v>
      </c>
      <c r="N5" s="105">
        <f t="shared" si="0"/>
        <v>42864</v>
      </c>
      <c r="O5" s="105">
        <f t="shared" si="0"/>
        <v>42865</v>
      </c>
      <c r="P5" s="105">
        <f t="shared" si="0"/>
        <v>42866</v>
      </c>
      <c r="Q5" s="105">
        <f t="shared" si="0"/>
        <v>42867</v>
      </c>
      <c r="R5" s="105">
        <f t="shared" si="0"/>
        <v>42868</v>
      </c>
      <c r="S5" s="105">
        <f t="shared" si="0"/>
        <v>42869</v>
      </c>
      <c r="T5" s="105">
        <f t="shared" si="0"/>
        <v>42870</v>
      </c>
      <c r="U5" s="105">
        <f t="shared" si="0"/>
        <v>42871</v>
      </c>
      <c r="V5" s="105">
        <f t="shared" si="0"/>
        <v>42872</v>
      </c>
      <c r="W5" s="105">
        <f t="shared" si="0"/>
        <v>42873</v>
      </c>
      <c r="X5" s="105">
        <f t="shared" si="0"/>
        <v>42874</v>
      </c>
      <c r="Y5" s="105">
        <f t="shared" si="0"/>
        <v>42875</v>
      </c>
      <c r="Z5" s="105">
        <f t="shared" si="0"/>
        <v>42876</v>
      </c>
      <c r="AA5" s="105">
        <f t="shared" si="0"/>
        <v>42877</v>
      </c>
      <c r="AB5" s="105">
        <f t="shared" si="0"/>
        <v>42878</v>
      </c>
      <c r="AC5" s="105">
        <f t="shared" si="0"/>
        <v>42879</v>
      </c>
      <c r="AD5" s="105">
        <f t="shared" si="0"/>
        <v>42880</v>
      </c>
      <c r="AE5" s="105">
        <f t="shared" si="0"/>
        <v>42881</v>
      </c>
      <c r="AF5" s="105">
        <f t="shared" si="0"/>
        <v>42882</v>
      </c>
      <c r="AG5" s="105">
        <f t="shared" si="0"/>
        <v>42883</v>
      </c>
      <c r="AH5" s="105">
        <f>AG5+1</f>
        <v>42884</v>
      </c>
      <c r="AI5" s="105">
        <f t="shared" si="0"/>
        <v>42885</v>
      </c>
      <c r="AJ5" s="105">
        <f t="shared" si="0"/>
        <v>42886</v>
      </c>
      <c r="AK5" s="262" t="s">
        <v>15</v>
      </c>
      <c r="AL5" s="263"/>
      <c r="AM5" s="264"/>
      <c r="AN5" s="265" t="s">
        <v>39</v>
      </c>
      <c r="AO5" s="265" t="s">
        <v>35</v>
      </c>
      <c r="AP5" s="265" t="s">
        <v>36</v>
      </c>
      <c r="AQ5" s="265" t="s">
        <v>37</v>
      </c>
      <c r="AR5" s="265" t="s">
        <v>38</v>
      </c>
      <c r="AS5" s="258" t="s">
        <v>0</v>
      </c>
      <c r="AT5" s="25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4" customFormat="1" ht="39.75" customHeight="1">
      <c r="A6" s="257"/>
      <c r="B6" s="257"/>
      <c r="C6" s="257"/>
      <c r="D6" s="257"/>
      <c r="E6" s="257"/>
      <c r="F6" s="160" t="str">
        <f>CHOOSE(WEEKDAY(F5),"C.Nhật","T.Hai","T.Ba","T.Tư","T.Năm","T.Sáu","T.Bảy")</f>
        <v>T.Hai</v>
      </c>
      <c r="G6" s="160" t="str">
        <f t="shared" ref="G6:AJ6" si="1">CHOOSE(WEEKDAY(G5),"C.Nhật","T.Hai","T.Ba","T.Tư","T.Năm","T.Sáu","T.Bảy")</f>
        <v>T.Ba</v>
      </c>
      <c r="H6" s="160" t="str">
        <f t="shared" si="1"/>
        <v>T.Tư</v>
      </c>
      <c r="I6" s="160" t="str">
        <f t="shared" si="1"/>
        <v>T.Năm</v>
      </c>
      <c r="J6" s="160" t="str">
        <f t="shared" si="1"/>
        <v>T.Sáu</v>
      </c>
      <c r="K6" s="160" t="str">
        <f t="shared" si="1"/>
        <v>T.Bảy</v>
      </c>
      <c r="L6" s="160" t="str">
        <f t="shared" si="1"/>
        <v>C.Nhật</v>
      </c>
      <c r="M6" s="160" t="str">
        <f t="shared" si="1"/>
        <v>T.Hai</v>
      </c>
      <c r="N6" s="160" t="str">
        <f t="shared" si="1"/>
        <v>T.Ba</v>
      </c>
      <c r="O6" s="160" t="str">
        <f t="shared" si="1"/>
        <v>T.Tư</v>
      </c>
      <c r="P6" s="160" t="str">
        <f t="shared" si="1"/>
        <v>T.Năm</v>
      </c>
      <c r="Q6" s="160" t="str">
        <f t="shared" si="1"/>
        <v>T.Sáu</v>
      </c>
      <c r="R6" s="160" t="str">
        <f t="shared" si="1"/>
        <v>T.Bảy</v>
      </c>
      <c r="S6" s="160" t="str">
        <f t="shared" si="1"/>
        <v>C.Nhật</v>
      </c>
      <c r="T6" s="160" t="str">
        <f t="shared" si="1"/>
        <v>T.Hai</v>
      </c>
      <c r="U6" s="160" t="str">
        <f t="shared" si="1"/>
        <v>T.Ba</v>
      </c>
      <c r="V6" s="160" t="str">
        <f t="shared" si="1"/>
        <v>T.Tư</v>
      </c>
      <c r="W6" s="160" t="str">
        <f t="shared" si="1"/>
        <v>T.Năm</v>
      </c>
      <c r="X6" s="160" t="str">
        <f t="shared" si="1"/>
        <v>T.Sáu</v>
      </c>
      <c r="Y6" s="160" t="str">
        <f t="shared" si="1"/>
        <v>T.Bảy</v>
      </c>
      <c r="Z6" s="160" t="str">
        <f t="shared" si="1"/>
        <v>C.Nhật</v>
      </c>
      <c r="AA6" s="160" t="str">
        <f t="shared" si="1"/>
        <v>T.Hai</v>
      </c>
      <c r="AB6" s="160" t="str">
        <f t="shared" si="1"/>
        <v>T.Ba</v>
      </c>
      <c r="AC6" s="160" t="str">
        <f t="shared" si="1"/>
        <v>T.Tư</v>
      </c>
      <c r="AD6" s="160" t="str">
        <f t="shared" si="1"/>
        <v>T.Năm</v>
      </c>
      <c r="AE6" s="160" t="str">
        <f t="shared" si="1"/>
        <v>T.Sáu</v>
      </c>
      <c r="AF6" s="160" t="str">
        <f t="shared" si="1"/>
        <v>T.Bảy</v>
      </c>
      <c r="AG6" s="160" t="str">
        <f t="shared" si="1"/>
        <v>C.Nhật</v>
      </c>
      <c r="AH6" s="160" t="str">
        <f t="shared" si="1"/>
        <v>T.Hai</v>
      </c>
      <c r="AI6" s="160" t="str">
        <f t="shared" si="1"/>
        <v>T.Ba</v>
      </c>
      <c r="AJ6" s="160" t="str">
        <f t="shared" si="1"/>
        <v>T.Tư</v>
      </c>
      <c r="AK6" s="161" t="s">
        <v>16</v>
      </c>
      <c r="AL6" s="161" t="s">
        <v>29</v>
      </c>
      <c r="AM6" s="162" t="s">
        <v>17</v>
      </c>
      <c r="AN6" s="266"/>
      <c r="AO6" s="266"/>
      <c r="AP6" s="266"/>
      <c r="AQ6" s="266"/>
      <c r="AR6" s="266"/>
      <c r="AS6" s="257"/>
      <c r="AT6" s="25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4" customFormat="1" ht="12.75" customHeight="1">
      <c r="A7" s="163">
        <v>1</v>
      </c>
      <c r="B7" s="163">
        <v>1</v>
      </c>
      <c r="C7" s="163">
        <v>2</v>
      </c>
      <c r="D7" s="163">
        <v>3</v>
      </c>
      <c r="E7" s="163">
        <v>4</v>
      </c>
      <c r="F7" s="163">
        <v>5</v>
      </c>
      <c r="G7" s="163">
        <v>6</v>
      </c>
      <c r="H7" s="163">
        <v>7</v>
      </c>
      <c r="I7" s="163">
        <v>8</v>
      </c>
      <c r="J7" s="163">
        <v>9</v>
      </c>
      <c r="K7" s="163">
        <v>10</v>
      </c>
      <c r="L7" s="163">
        <v>11</v>
      </c>
      <c r="M7" s="163">
        <v>12</v>
      </c>
      <c r="N7" s="163">
        <v>13</v>
      </c>
      <c r="O7" s="163">
        <v>14</v>
      </c>
      <c r="P7" s="163">
        <v>15</v>
      </c>
      <c r="Q7" s="163">
        <v>16</v>
      </c>
      <c r="R7" s="163">
        <v>17</v>
      </c>
      <c r="S7" s="163">
        <v>18</v>
      </c>
      <c r="T7" s="163">
        <v>19</v>
      </c>
      <c r="U7" s="163">
        <v>20</v>
      </c>
      <c r="V7" s="163">
        <v>21</v>
      </c>
      <c r="W7" s="163">
        <v>22</v>
      </c>
      <c r="X7" s="163">
        <v>23</v>
      </c>
      <c r="Y7" s="163">
        <v>24</v>
      </c>
      <c r="Z7" s="163">
        <v>25</v>
      </c>
      <c r="AA7" s="163">
        <v>26</v>
      </c>
      <c r="AB7" s="163">
        <v>27</v>
      </c>
      <c r="AC7" s="163">
        <v>28</v>
      </c>
      <c r="AD7" s="163">
        <v>29</v>
      </c>
      <c r="AE7" s="163">
        <v>30</v>
      </c>
      <c r="AF7" s="163">
        <v>31</v>
      </c>
      <c r="AG7" s="163">
        <v>32</v>
      </c>
      <c r="AH7" s="163">
        <v>33</v>
      </c>
      <c r="AI7" s="163">
        <v>34</v>
      </c>
      <c r="AJ7" s="163">
        <v>35</v>
      </c>
      <c r="AK7" s="163">
        <v>36</v>
      </c>
      <c r="AL7" s="163">
        <v>37</v>
      </c>
      <c r="AM7" s="163">
        <v>38</v>
      </c>
      <c r="AN7" s="163">
        <v>39</v>
      </c>
      <c r="AO7" s="163">
        <v>40</v>
      </c>
      <c r="AP7" s="163">
        <v>41</v>
      </c>
      <c r="AQ7" s="163">
        <v>42</v>
      </c>
      <c r="AR7" s="163">
        <v>43</v>
      </c>
      <c r="AS7" s="163">
        <v>44</v>
      </c>
      <c r="AT7" s="9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6" customFormat="1" ht="21" customHeight="1">
      <c r="A8" s="164" t="s">
        <v>68</v>
      </c>
      <c r="B8" s="167" t="s">
        <v>78</v>
      </c>
      <c r="C8" s="168"/>
      <c r="D8" s="168"/>
      <c r="E8" s="168"/>
      <c r="F8" s="168"/>
      <c r="G8" s="168"/>
      <c r="H8" s="168"/>
      <c r="I8" s="168"/>
      <c r="J8" s="168"/>
      <c r="K8" s="168"/>
      <c r="L8" s="168"/>
      <c r="M8" s="168"/>
      <c r="N8" s="168"/>
      <c r="O8" s="168"/>
      <c r="P8" s="168"/>
      <c r="Q8" s="168"/>
      <c r="R8" s="168"/>
      <c r="S8" s="168"/>
      <c r="T8" s="168"/>
      <c r="U8" s="168"/>
      <c r="V8" s="168"/>
      <c r="W8" s="168"/>
      <c r="X8" s="168"/>
      <c r="Y8" s="168"/>
      <c r="Z8" s="168"/>
      <c r="AA8" s="168"/>
      <c r="AB8" s="168"/>
      <c r="AC8" s="168"/>
      <c r="AD8" s="168"/>
      <c r="AE8" s="168"/>
      <c r="AF8" s="168"/>
      <c r="AG8" s="168"/>
      <c r="AH8" s="168"/>
      <c r="AI8" s="168"/>
      <c r="AJ8" s="168"/>
      <c r="AK8" s="168"/>
      <c r="AL8" s="168"/>
      <c r="AM8" s="168"/>
      <c r="AN8" s="168"/>
      <c r="AO8" s="168"/>
      <c r="AP8" s="168"/>
      <c r="AQ8" s="168"/>
      <c r="AR8" s="168"/>
      <c r="AS8" s="169"/>
      <c r="AT8" s="165"/>
    </row>
    <row r="9" spans="1:91" s="54" customFormat="1" ht="18" customHeight="1">
      <c r="A9" s="249">
        <v>1</v>
      </c>
      <c r="B9" s="249" t="s">
        <v>74</v>
      </c>
      <c r="C9" s="251" t="str">
        <f>VLOOKUP(B9,DS,2,0)</f>
        <v>Nguyễn Thị Kim Quyên</v>
      </c>
      <c r="D9" s="253" t="str">
        <f>VLOOKUP(B9,DS,3,0)</f>
        <v>Văn Phòng</v>
      </c>
      <c r="E9" s="55" t="s">
        <v>30</v>
      </c>
      <c r="F9" s="130"/>
      <c r="G9" s="130"/>
      <c r="H9" s="130">
        <v>8</v>
      </c>
      <c r="I9" s="130">
        <v>8</v>
      </c>
      <c r="J9" s="130">
        <v>8</v>
      </c>
      <c r="K9" s="130">
        <v>8</v>
      </c>
      <c r="L9" s="130"/>
      <c r="M9" s="130">
        <v>8</v>
      </c>
      <c r="N9" s="130">
        <v>8</v>
      </c>
      <c r="O9" s="130">
        <v>8</v>
      </c>
      <c r="P9" s="130">
        <v>8</v>
      </c>
      <c r="Q9" s="130">
        <v>8</v>
      </c>
      <c r="R9" s="130">
        <v>8</v>
      </c>
      <c r="S9" s="130"/>
      <c r="T9" s="130">
        <v>8</v>
      </c>
      <c r="U9" s="130">
        <v>8</v>
      </c>
      <c r="V9" s="130">
        <v>8</v>
      </c>
      <c r="W9" s="130">
        <v>8</v>
      </c>
      <c r="X9" s="130">
        <v>8</v>
      </c>
      <c r="Y9" s="130">
        <v>8</v>
      </c>
      <c r="Z9" s="130"/>
      <c r="AA9" s="130">
        <v>8</v>
      </c>
      <c r="AB9" s="130">
        <v>8</v>
      </c>
      <c r="AC9" s="130">
        <v>8</v>
      </c>
      <c r="AD9" s="130">
        <v>8</v>
      </c>
      <c r="AE9" s="130">
        <v>8</v>
      </c>
      <c r="AF9" s="130">
        <v>8</v>
      </c>
      <c r="AG9" s="130"/>
      <c r="AH9" s="130">
        <v>8</v>
      </c>
      <c r="AI9" s="130">
        <v>8</v>
      </c>
      <c r="AJ9" s="130">
        <v>8</v>
      </c>
      <c r="AK9" s="245">
        <f>((SUM(F9:AJ9))/8)-(SUMIF($F$6:$AJ$6,"C.Nhật",F9:AJ9)/8)</f>
        <v>25</v>
      </c>
      <c r="AL9" s="245">
        <f>SUM(F10:AJ10)/8*1.5</f>
        <v>0</v>
      </c>
      <c r="AM9" s="247">
        <f>SUMIF($F$6:$AJ$6,"C.Nhật",$F9:$AJ10)/8*2</f>
        <v>0</v>
      </c>
      <c r="AN9" s="241">
        <f>SUM(AK9:AM10)</f>
        <v>25</v>
      </c>
      <c r="AO9" s="243">
        <v>0</v>
      </c>
      <c r="AP9" s="241"/>
      <c r="AQ9" s="241"/>
      <c r="AR9" s="241"/>
      <c r="AS9" s="239"/>
      <c r="AT9" s="9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4" customFormat="1" ht="18" customHeight="1">
      <c r="A10" s="250"/>
      <c r="B10" s="250"/>
      <c r="C10" s="252"/>
      <c r="D10" s="254"/>
      <c r="E10" s="56" t="s">
        <v>29</v>
      </c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131"/>
      <c r="AK10" s="246"/>
      <c r="AL10" s="246"/>
      <c r="AM10" s="248"/>
      <c r="AN10" s="242"/>
      <c r="AO10" s="244"/>
      <c r="AP10" s="242"/>
      <c r="AQ10" s="242"/>
      <c r="AR10" s="242"/>
      <c r="AS10" s="240"/>
      <c r="AT10" s="9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66" customFormat="1" ht="21" customHeight="1">
      <c r="A11" s="164" t="s">
        <v>69</v>
      </c>
      <c r="B11" s="167" t="s">
        <v>73</v>
      </c>
      <c r="C11" s="168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  <c r="P11" s="168"/>
      <c r="Q11" s="168"/>
      <c r="R11" s="168"/>
      <c r="S11" s="168"/>
      <c r="T11" s="168"/>
      <c r="U11" s="168"/>
      <c r="V11" s="168"/>
      <c r="W11" s="168"/>
      <c r="X11" s="168"/>
      <c r="Y11" s="168"/>
      <c r="Z11" s="168"/>
      <c r="AA11" s="168"/>
      <c r="AB11" s="168"/>
      <c r="AC11" s="168"/>
      <c r="AD11" s="168"/>
      <c r="AE11" s="168"/>
      <c r="AF11" s="168"/>
      <c r="AG11" s="168"/>
      <c r="AH11" s="168"/>
      <c r="AI11" s="168"/>
      <c r="AJ11" s="168"/>
      <c r="AK11" s="168"/>
      <c r="AL11" s="168"/>
      <c r="AM11" s="168"/>
      <c r="AN11" s="168"/>
      <c r="AO11" s="168"/>
      <c r="AP11" s="168"/>
      <c r="AQ11" s="168"/>
      <c r="AR11" s="168"/>
      <c r="AS11" s="169"/>
      <c r="AT11" s="165"/>
    </row>
    <row r="12" spans="1:91" s="54" customFormat="1" ht="18" customHeight="1">
      <c r="A12" s="249">
        <v>1</v>
      </c>
      <c r="B12" s="249" t="s">
        <v>75</v>
      </c>
      <c r="C12" s="251" t="str">
        <f>VLOOKUP(B12,DS,2,0)</f>
        <v>Lê Văn Hữu</v>
      </c>
      <c r="D12" s="253" t="str">
        <f>VLOOKUP(B12,DS,3,0)</f>
        <v>Công Đoạn 1</v>
      </c>
      <c r="E12" s="55" t="s">
        <v>30</v>
      </c>
      <c r="F12" s="130"/>
      <c r="G12" s="130"/>
      <c r="H12" s="130">
        <v>8</v>
      </c>
      <c r="I12" s="130">
        <v>8</v>
      </c>
      <c r="J12" s="130">
        <v>8</v>
      </c>
      <c r="K12" s="130">
        <v>8</v>
      </c>
      <c r="L12" s="130"/>
      <c r="M12" s="130">
        <v>8</v>
      </c>
      <c r="N12" s="130">
        <v>8</v>
      </c>
      <c r="O12" s="130">
        <v>8</v>
      </c>
      <c r="P12" s="130">
        <v>8</v>
      </c>
      <c r="Q12" s="130">
        <v>8</v>
      </c>
      <c r="R12" s="130">
        <v>8</v>
      </c>
      <c r="S12" s="130"/>
      <c r="T12" s="130">
        <v>8</v>
      </c>
      <c r="U12" s="130">
        <v>8</v>
      </c>
      <c r="V12" s="130">
        <v>8</v>
      </c>
      <c r="W12" s="130">
        <v>8</v>
      </c>
      <c r="X12" s="130">
        <v>8</v>
      </c>
      <c r="Y12" s="130">
        <v>8</v>
      </c>
      <c r="Z12" s="130"/>
      <c r="AA12" s="130">
        <v>8</v>
      </c>
      <c r="AB12" s="130">
        <v>8</v>
      </c>
      <c r="AC12" s="130">
        <v>8</v>
      </c>
      <c r="AD12" s="130">
        <v>8</v>
      </c>
      <c r="AE12" s="130">
        <v>8</v>
      </c>
      <c r="AF12" s="130">
        <v>8</v>
      </c>
      <c r="AG12" s="130"/>
      <c r="AH12" s="130">
        <v>8</v>
      </c>
      <c r="AI12" s="130">
        <v>8</v>
      </c>
      <c r="AJ12" s="130">
        <v>8</v>
      </c>
      <c r="AK12" s="245">
        <f t="shared" ref="AK12" si="2">((SUM(F12:AJ12))/8)-(SUMIF($F$6:$AJ$6,"C.Nhật",F12:AJ12)/8)</f>
        <v>25</v>
      </c>
      <c r="AL12" s="245">
        <f t="shared" ref="AL12" si="3">SUM(F13:AJ13)/8*1.5</f>
        <v>0</v>
      </c>
      <c r="AM12" s="247">
        <f>SUMIF($F$6:$AJ$6,"C.Nhật",$F12:$AJ13)/8*2</f>
        <v>0</v>
      </c>
      <c r="AN12" s="241">
        <f>SUM(AK12:AM13)</f>
        <v>25</v>
      </c>
      <c r="AO12" s="243">
        <v>0</v>
      </c>
      <c r="AP12" s="241"/>
      <c r="AQ12" s="241"/>
      <c r="AR12" s="241"/>
      <c r="AS12" s="239"/>
      <c r="AT12" s="205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54" customFormat="1" ht="18" customHeight="1">
      <c r="A13" s="250"/>
      <c r="B13" s="250"/>
      <c r="C13" s="252"/>
      <c r="D13" s="254"/>
      <c r="E13" s="56" t="s">
        <v>29</v>
      </c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  <c r="AH13" s="131"/>
      <c r="AI13" s="131"/>
      <c r="AJ13" s="131"/>
      <c r="AK13" s="246"/>
      <c r="AL13" s="246"/>
      <c r="AM13" s="248"/>
      <c r="AN13" s="242"/>
      <c r="AO13" s="244"/>
      <c r="AP13" s="242"/>
      <c r="AQ13" s="242"/>
      <c r="AR13" s="242"/>
      <c r="AS13" s="240"/>
      <c r="AT13" s="205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54" customFormat="1" ht="18" customHeight="1">
      <c r="A14" s="249">
        <v>2</v>
      </c>
      <c r="B14" s="249" t="s">
        <v>76</v>
      </c>
      <c r="C14" s="251" t="str">
        <f>VLOOKUP(B14,DS,2,0)</f>
        <v>Lý Thanh Hải</v>
      </c>
      <c r="D14" s="253" t="str">
        <f>VLOOKUP(B14,DS,3,0)</f>
        <v>Công Đoạn 1</v>
      </c>
      <c r="E14" s="55" t="s">
        <v>30</v>
      </c>
      <c r="F14" s="130"/>
      <c r="G14" s="130"/>
      <c r="H14" s="130">
        <v>8</v>
      </c>
      <c r="I14" s="130">
        <v>8</v>
      </c>
      <c r="J14" s="130">
        <v>8</v>
      </c>
      <c r="K14" s="130">
        <v>8</v>
      </c>
      <c r="L14" s="130"/>
      <c r="M14" s="130">
        <v>8</v>
      </c>
      <c r="N14" s="130">
        <v>8</v>
      </c>
      <c r="O14" s="130">
        <v>8</v>
      </c>
      <c r="P14" s="130">
        <v>8</v>
      </c>
      <c r="Q14" s="130">
        <v>8</v>
      </c>
      <c r="R14" s="130">
        <v>8</v>
      </c>
      <c r="S14" s="130"/>
      <c r="T14" s="130">
        <v>8</v>
      </c>
      <c r="U14" s="130">
        <v>8</v>
      </c>
      <c r="V14" s="130">
        <v>8</v>
      </c>
      <c r="W14" s="130">
        <v>8</v>
      </c>
      <c r="X14" s="130">
        <v>8</v>
      </c>
      <c r="Y14" s="130">
        <v>8</v>
      </c>
      <c r="Z14" s="130"/>
      <c r="AA14" s="130">
        <v>8</v>
      </c>
      <c r="AB14" s="130">
        <v>8</v>
      </c>
      <c r="AC14" s="130">
        <v>8</v>
      </c>
      <c r="AD14" s="130">
        <v>8</v>
      </c>
      <c r="AE14" s="130">
        <v>8</v>
      </c>
      <c r="AF14" s="130">
        <v>8</v>
      </c>
      <c r="AG14" s="130"/>
      <c r="AH14" s="130">
        <v>8</v>
      </c>
      <c r="AI14" s="130">
        <v>8</v>
      </c>
      <c r="AJ14" s="130">
        <v>8</v>
      </c>
      <c r="AK14" s="245">
        <f t="shared" ref="AK14" si="4">((SUM(F14:AJ14))/8)-(SUMIF($F$6:$AJ$6,"C.Nhật",F14:AJ14)/8)</f>
        <v>25</v>
      </c>
      <c r="AL14" s="245">
        <f t="shared" ref="AL14" si="5">SUM(F15:AJ15)/8*1.5</f>
        <v>0</v>
      </c>
      <c r="AM14" s="247">
        <f>SUMIF($F$6:$AJ$6,"C.Nhật",$F14:$AJ15)/8*2</f>
        <v>0</v>
      </c>
      <c r="AN14" s="241">
        <f t="shared" ref="AN14" si="6">SUM(AK14:AM15)</f>
        <v>25</v>
      </c>
      <c r="AO14" s="243">
        <v>0</v>
      </c>
      <c r="AP14" s="241"/>
      <c r="AQ14" s="241"/>
      <c r="AR14" s="241"/>
      <c r="AS14" s="239"/>
      <c r="AT14" s="21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4" customFormat="1" ht="18" customHeight="1">
      <c r="A15" s="250"/>
      <c r="B15" s="250"/>
      <c r="C15" s="252"/>
      <c r="D15" s="254"/>
      <c r="E15" s="56" t="s">
        <v>29</v>
      </c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31"/>
      <c r="AK15" s="246"/>
      <c r="AL15" s="246"/>
      <c r="AM15" s="248"/>
      <c r="AN15" s="242"/>
      <c r="AO15" s="244"/>
      <c r="AP15" s="242"/>
      <c r="AQ15" s="242"/>
      <c r="AR15" s="242"/>
      <c r="AS15" s="240"/>
      <c r="AT15" s="21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4" customFormat="1" ht="18" customHeight="1">
      <c r="A16" s="249">
        <v>3</v>
      </c>
      <c r="B16" s="249" t="s">
        <v>77</v>
      </c>
      <c r="C16" s="251" t="str">
        <f>VLOOKUP(B16,DS,2,0)</f>
        <v>Cao Minh Chí</v>
      </c>
      <c r="D16" s="253" t="str">
        <f>VLOOKUP(B16,DS,3,0)</f>
        <v>Công Đoạn 2</v>
      </c>
      <c r="E16" s="55" t="s">
        <v>30</v>
      </c>
      <c r="F16" s="130"/>
      <c r="G16" s="130"/>
      <c r="H16" s="130">
        <v>8</v>
      </c>
      <c r="I16" s="130">
        <v>8</v>
      </c>
      <c r="J16" s="130">
        <v>8</v>
      </c>
      <c r="K16" s="130">
        <v>8</v>
      </c>
      <c r="L16" s="130"/>
      <c r="M16" s="130">
        <v>8</v>
      </c>
      <c r="N16" s="130">
        <v>8</v>
      </c>
      <c r="O16" s="130">
        <v>8</v>
      </c>
      <c r="P16" s="130">
        <v>8</v>
      </c>
      <c r="Q16" s="130">
        <v>8</v>
      </c>
      <c r="R16" s="130">
        <v>8</v>
      </c>
      <c r="S16" s="130"/>
      <c r="T16" s="130">
        <v>8</v>
      </c>
      <c r="U16" s="130">
        <v>8</v>
      </c>
      <c r="V16" s="130">
        <v>8</v>
      </c>
      <c r="W16" s="130">
        <v>8</v>
      </c>
      <c r="X16" s="130">
        <v>8</v>
      </c>
      <c r="Y16" s="130">
        <v>8</v>
      </c>
      <c r="Z16" s="130"/>
      <c r="AA16" s="130">
        <v>8</v>
      </c>
      <c r="AB16" s="130">
        <v>8</v>
      </c>
      <c r="AC16" s="130">
        <v>8</v>
      </c>
      <c r="AD16" s="130">
        <v>8</v>
      </c>
      <c r="AE16" s="130">
        <v>8</v>
      </c>
      <c r="AF16" s="130">
        <v>8</v>
      </c>
      <c r="AG16" s="130"/>
      <c r="AH16" s="130">
        <v>8</v>
      </c>
      <c r="AI16" s="130">
        <v>8</v>
      </c>
      <c r="AJ16" s="130">
        <v>8</v>
      </c>
      <c r="AK16" s="245">
        <f t="shared" ref="AK16" si="7">((SUM(F16:AJ16))/8)-(SUMIF($F$6:$AJ$6,"C.Nhật",F16:AJ16)/8)</f>
        <v>25</v>
      </c>
      <c r="AL16" s="245">
        <f t="shared" ref="AL16" si="8">SUM(F17:AJ17)/8*1.5</f>
        <v>0</v>
      </c>
      <c r="AM16" s="247">
        <f>SUMIF($F$6:$AJ$6,"C.Nhật",$F16:$AJ17)/8*2</f>
        <v>0</v>
      </c>
      <c r="AN16" s="241">
        <f t="shared" ref="AN16" si="9">SUM(AK16:AM17)</f>
        <v>25</v>
      </c>
      <c r="AO16" s="243">
        <v>0</v>
      </c>
      <c r="AP16" s="241"/>
      <c r="AQ16" s="241"/>
      <c r="AR16" s="241"/>
      <c r="AS16" s="239"/>
      <c r="AT16" s="21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4" customFormat="1" ht="18" customHeight="1">
      <c r="A17" s="250"/>
      <c r="B17" s="250"/>
      <c r="C17" s="252"/>
      <c r="D17" s="254"/>
      <c r="E17" s="56" t="s">
        <v>29</v>
      </c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31"/>
      <c r="AK17" s="246"/>
      <c r="AL17" s="246"/>
      <c r="AM17" s="248"/>
      <c r="AN17" s="242"/>
      <c r="AO17" s="244"/>
      <c r="AP17" s="242"/>
      <c r="AQ17" s="242"/>
      <c r="AR17" s="242"/>
      <c r="AS17" s="240"/>
      <c r="AT17" s="21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7" customFormat="1" ht="12.75">
      <c r="A18" s="14"/>
      <c r="B18" s="58"/>
      <c r="C18" s="4"/>
      <c r="D18" s="100"/>
      <c r="E18" s="4"/>
      <c r="F18" s="62"/>
      <c r="G18" s="62"/>
      <c r="H18" s="59"/>
      <c r="I18" s="59"/>
      <c r="J18" s="107"/>
      <c r="K18" s="62"/>
      <c r="L18" s="59"/>
      <c r="M18" s="62"/>
      <c r="N18" s="62"/>
      <c r="O18" s="62"/>
      <c r="P18" s="62"/>
      <c r="Q18" s="59"/>
      <c r="R18" s="62"/>
      <c r="S18" s="62"/>
      <c r="T18" s="107"/>
      <c r="U18" s="62"/>
      <c r="V18" s="62"/>
      <c r="W18" s="62"/>
      <c r="X18" s="58"/>
      <c r="Y18" s="62"/>
      <c r="Z18" s="62"/>
      <c r="AA18" s="62"/>
      <c r="AB18" s="62"/>
      <c r="AC18" s="62"/>
      <c r="AD18" s="59"/>
      <c r="AE18" s="62"/>
      <c r="AF18" s="62"/>
      <c r="AG18" s="62"/>
      <c r="AH18" s="62"/>
      <c r="AI18" s="62"/>
      <c r="AJ18" s="62"/>
      <c r="AK18" s="4"/>
      <c r="AL18" s="4"/>
      <c r="AM18" s="85"/>
      <c r="AN18" s="61"/>
      <c r="AO18" s="61"/>
      <c r="AP18" s="61"/>
      <c r="AQ18" s="61"/>
      <c r="AR18" s="61"/>
      <c r="AS18" s="4"/>
      <c r="AT18" s="91"/>
    </row>
    <row r="19" spans="1:90" s="57" customFormat="1" ht="12.75">
      <c r="A19" s="14"/>
      <c r="B19" s="58"/>
      <c r="C19" s="14" t="s">
        <v>14</v>
      </c>
      <c r="D19" s="100"/>
      <c r="E19" s="4"/>
      <c r="F19" s="62"/>
      <c r="G19" s="62"/>
      <c r="H19" s="59"/>
      <c r="I19" s="59"/>
      <c r="J19" s="107"/>
      <c r="K19" s="62"/>
      <c r="L19" s="59"/>
      <c r="M19" s="62"/>
      <c r="N19" s="62"/>
      <c r="O19" s="62"/>
      <c r="P19" s="62"/>
      <c r="Q19" s="59"/>
      <c r="R19" s="62"/>
      <c r="S19" s="62"/>
      <c r="T19" s="107"/>
      <c r="U19" s="62"/>
      <c r="V19" s="62"/>
      <c r="W19" s="62"/>
      <c r="X19" s="58"/>
      <c r="Y19" s="62"/>
      <c r="Z19" s="62"/>
      <c r="AA19" s="62"/>
      <c r="AB19" s="62"/>
      <c r="AC19" s="62"/>
      <c r="AD19" s="59"/>
      <c r="AE19" s="62"/>
      <c r="AF19" s="62"/>
      <c r="AG19" s="62"/>
      <c r="AH19" s="62"/>
      <c r="AI19" s="62"/>
      <c r="AJ19" s="62"/>
      <c r="AK19" s="4"/>
      <c r="AL19" s="4"/>
      <c r="AM19" s="85"/>
      <c r="AN19" s="61"/>
      <c r="AO19" s="61"/>
      <c r="AP19" s="61"/>
      <c r="AQ19" s="61"/>
      <c r="AR19" s="61"/>
      <c r="AS19" s="4"/>
      <c r="AT19" s="91"/>
    </row>
    <row r="20" spans="1:90" s="57" customFormat="1" ht="12.75">
      <c r="A20" s="12"/>
      <c r="B20" s="12"/>
      <c r="C20" s="4"/>
      <c r="D20" s="100"/>
      <c r="E20" s="4"/>
      <c r="F20" s="62"/>
      <c r="G20" s="62"/>
      <c r="H20" s="108"/>
      <c r="I20" s="108"/>
      <c r="J20" s="108"/>
      <c r="K20" s="62"/>
      <c r="L20" s="108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108"/>
      <c r="AE20" s="62"/>
      <c r="AF20" s="62"/>
      <c r="AG20" s="62"/>
      <c r="AH20" s="62"/>
      <c r="AI20" s="62"/>
      <c r="AJ20" s="62"/>
      <c r="AK20" s="4"/>
      <c r="AL20" s="4"/>
      <c r="AM20" s="85"/>
      <c r="AN20" s="63"/>
      <c r="AO20" s="63"/>
      <c r="AP20" s="63"/>
      <c r="AQ20" s="63"/>
      <c r="AR20" s="63"/>
      <c r="AS20" s="4"/>
      <c r="AT20" s="91"/>
    </row>
    <row r="21" spans="1:90" s="60" customFormat="1" ht="15" customHeight="1">
      <c r="A21" s="12"/>
      <c r="B21" s="12"/>
      <c r="C21" s="4"/>
      <c r="D21" s="100"/>
      <c r="E21" s="4"/>
      <c r="F21" s="62"/>
      <c r="G21" s="62"/>
      <c r="H21" s="108"/>
      <c r="I21" s="108"/>
      <c r="J21" s="108"/>
      <c r="K21" s="62"/>
      <c r="L21" s="108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108"/>
      <c r="AE21" s="62"/>
      <c r="AF21" s="62"/>
      <c r="AG21" s="62"/>
      <c r="AH21" s="62"/>
      <c r="AI21" s="62"/>
      <c r="AJ21" s="62"/>
      <c r="AK21" s="4"/>
      <c r="AL21" s="4"/>
      <c r="AM21" s="85"/>
      <c r="AN21" s="63"/>
      <c r="AO21" s="63"/>
      <c r="AP21" s="63"/>
      <c r="AQ21" s="63"/>
      <c r="AR21" s="63"/>
      <c r="AS21" s="4"/>
      <c r="AT21" s="4"/>
    </row>
    <row r="22" spans="1:90" s="60" customFormat="1" ht="11.25">
      <c r="A22" s="12"/>
      <c r="B22" s="12"/>
      <c r="C22" s="4"/>
      <c r="D22" s="100"/>
      <c r="E22" s="4"/>
      <c r="F22" s="62"/>
      <c r="G22" s="62"/>
      <c r="H22" s="108"/>
      <c r="I22" s="108"/>
      <c r="J22" s="108"/>
      <c r="K22" s="62"/>
      <c r="L22" s="108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108"/>
      <c r="AE22" s="62"/>
      <c r="AF22" s="62"/>
      <c r="AG22" s="62"/>
      <c r="AH22" s="62"/>
      <c r="AI22" s="62"/>
      <c r="AJ22" s="62"/>
      <c r="AK22" s="4"/>
      <c r="AL22" s="4"/>
      <c r="AM22" s="85"/>
      <c r="AN22" s="63"/>
      <c r="AO22" s="63"/>
      <c r="AP22" s="63"/>
      <c r="AQ22" s="63"/>
      <c r="AR22" s="63"/>
      <c r="AS22" s="4"/>
      <c r="AT22" s="4"/>
    </row>
    <row r="23" spans="1:90" s="60" customFormat="1" ht="11.25">
      <c r="A23" s="12"/>
      <c r="B23" s="12"/>
      <c r="C23" s="4"/>
      <c r="D23" s="100"/>
      <c r="E23" s="4"/>
      <c r="F23" s="62"/>
      <c r="G23" s="62"/>
      <c r="H23" s="108"/>
      <c r="I23" s="108"/>
      <c r="J23" s="108"/>
      <c r="K23" s="62"/>
      <c r="L23" s="108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108"/>
      <c r="AE23" s="62"/>
      <c r="AF23" s="62"/>
      <c r="AG23" s="62"/>
      <c r="AH23" s="62"/>
      <c r="AI23" s="62"/>
      <c r="AJ23" s="62"/>
      <c r="AK23" s="4"/>
      <c r="AL23" s="4"/>
      <c r="AM23" s="85"/>
      <c r="AN23" s="63"/>
      <c r="AO23" s="63"/>
      <c r="AP23" s="63"/>
      <c r="AQ23" s="63"/>
      <c r="AR23" s="63"/>
      <c r="AS23" s="4"/>
      <c r="AT23" s="4"/>
    </row>
    <row r="24" spans="1:90" s="60" customFormat="1" ht="11.25">
      <c r="A24" s="10"/>
      <c r="B24" s="10"/>
      <c r="C24" s="14"/>
      <c r="D24" s="101"/>
      <c r="E24" s="64"/>
      <c r="F24" s="107"/>
      <c r="G24" s="109"/>
      <c r="H24" s="59"/>
      <c r="I24" s="59"/>
      <c r="J24" s="59"/>
      <c r="K24" s="109"/>
      <c r="L24" s="59"/>
      <c r="M24" s="109"/>
      <c r="N24" s="109"/>
      <c r="O24" s="109"/>
      <c r="P24" s="109"/>
      <c r="Q24" s="59"/>
      <c r="R24" s="107"/>
      <c r="S24" s="109"/>
      <c r="T24" s="109"/>
      <c r="U24" s="59"/>
      <c r="V24" s="109"/>
      <c r="W24" s="109"/>
      <c r="X24" s="59"/>
      <c r="Y24" s="109"/>
      <c r="Z24" s="109"/>
      <c r="AA24" s="109"/>
      <c r="AB24" s="109"/>
      <c r="AC24" s="109"/>
      <c r="AD24" s="59"/>
      <c r="AE24" s="109"/>
      <c r="AF24" s="109"/>
      <c r="AG24" s="109"/>
      <c r="AH24" s="109"/>
      <c r="AI24" s="109"/>
      <c r="AJ24" s="109"/>
      <c r="AK24" s="64"/>
      <c r="AM24" s="86"/>
      <c r="AN24" s="10"/>
      <c r="AO24" s="10"/>
      <c r="AP24" s="10"/>
      <c r="AQ24" s="10"/>
      <c r="AR24" s="10"/>
      <c r="AS24" s="14"/>
      <c r="AT24" s="4"/>
    </row>
    <row r="25" spans="1:90" s="60" customFormat="1" ht="12.75">
      <c r="A25" s="2"/>
      <c r="B25" s="2" t="s">
        <v>0</v>
      </c>
      <c r="C25" s="2"/>
      <c r="D25" s="102"/>
      <c r="E25" s="2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1"/>
      <c r="AI25" s="111"/>
      <c r="AJ25" s="111"/>
      <c r="AK25" s="2"/>
      <c r="AL25" s="2"/>
      <c r="AM25" s="87"/>
      <c r="AN25" s="2"/>
      <c r="AO25" s="2"/>
      <c r="AP25" s="2"/>
      <c r="AQ25" s="2"/>
      <c r="AR25" s="2"/>
      <c r="AS25" s="2"/>
      <c r="AT25" s="4"/>
    </row>
    <row r="26" spans="1:90" s="60" customFormat="1" ht="12.75">
      <c r="A26" s="2"/>
      <c r="B26" s="2"/>
      <c r="C26" s="2" t="s">
        <v>40</v>
      </c>
      <c r="D26" s="102"/>
      <c r="E26" s="2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1"/>
      <c r="AI26" s="111"/>
      <c r="AJ26" s="111"/>
      <c r="AK26" s="2"/>
      <c r="AL26" s="2"/>
      <c r="AM26" s="87"/>
      <c r="AN26" s="2"/>
      <c r="AO26" s="2"/>
      <c r="AP26" s="2"/>
      <c r="AQ26" s="2"/>
      <c r="AR26" s="2"/>
      <c r="AS26" s="2"/>
      <c r="AT26" s="14"/>
    </row>
    <row r="27" spans="1:90" ht="15" customHeight="1">
      <c r="C27" s="2" t="s">
        <v>41</v>
      </c>
    </row>
    <row r="28" spans="1:90" ht="15" customHeight="1">
      <c r="C28" s="2" t="s">
        <v>42</v>
      </c>
    </row>
    <row r="29" spans="1:90" ht="15" customHeight="1">
      <c r="C29" s="2" t="s">
        <v>43</v>
      </c>
    </row>
    <row r="30" spans="1:90" ht="15" customHeight="1">
      <c r="C30" s="2" t="s">
        <v>44</v>
      </c>
    </row>
    <row r="31" spans="1:90" ht="15" customHeight="1">
      <c r="C31" s="2" t="s">
        <v>45</v>
      </c>
    </row>
    <row r="32" spans="1:90" ht="15" customHeight="1">
      <c r="C32" s="2" t="s">
        <v>46</v>
      </c>
    </row>
    <row r="33" spans="3:3" ht="15" customHeight="1">
      <c r="C33" s="2" t="s">
        <v>47</v>
      </c>
    </row>
    <row r="34" spans="3:3" ht="15" customHeight="1">
      <c r="C34" s="2" t="s">
        <v>48</v>
      </c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20:J23 Q18:Q19" name="Range1_1_1_1"/>
    <protectedRange password="CC78" sqref="J24" name="Range1_3_1_1"/>
    <protectedRange password="CC78" sqref="A12:A17" name="Range1_1_2"/>
    <protectedRange password="CC78" sqref="A12:A17 C12:E17" name="Range1_6_2"/>
    <protectedRange password="CC78" sqref="B12:B17" name="Range1_4_2"/>
  </protectedRanges>
  <mergeCells count="66">
    <mergeCell ref="A16:A17"/>
    <mergeCell ref="B16:B17"/>
    <mergeCell ref="C16:C17"/>
    <mergeCell ref="D16:D17"/>
    <mergeCell ref="AK16:AK17"/>
    <mergeCell ref="C14:C15"/>
    <mergeCell ref="D14:D15"/>
    <mergeCell ref="AK14:AK15"/>
    <mergeCell ref="C12:C13"/>
    <mergeCell ref="A14:A15"/>
    <mergeCell ref="B14:B15"/>
    <mergeCell ref="A12:A13"/>
    <mergeCell ref="B12:B13"/>
    <mergeCell ref="D12:D13"/>
    <mergeCell ref="AK12:AK13"/>
    <mergeCell ref="AL14:AL15"/>
    <mergeCell ref="AM14:AM15"/>
    <mergeCell ref="AT5:AT6"/>
    <mergeCell ref="AO9:AO10"/>
    <mergeCell ref="AP9:AP10"/>
    <mergeCell ref="AQ9:AQ10"/>
    <mergeCell ref="AR9:AR10"/>
    <mergeCell ref="AS9:AS10"/>
    <mergeCell ref="AS5:AS6"/>
    <mergeCell ref="AR5:AR6"/>
    <mergeCell ref="AN9:AN10"/>
    <mergeCell ref="AL9:AL10"/>
    <mergeCell ref="AK5:AM5"/>
    <mergeCell ref="AK9:AK10"/>
    <mergeCell ref="AS12:AS13"/>
    <mergeCell ref="AL12:AL13"/>
    <mergeCell ref="A9:A10"/>
    <mergeCell ref="B9:B10"/>
    <mergeCell ref="C9:C10"/>
    <mergeCell ref="D9:D10"/>
    <mergeCell ref="E5:E6"/>
    <mergeCell ref="A5:A6"/>
    <mergeCell ref="C5:C6"/>
    <mergeCell ref="D5:D6"/>
    <mergeCell ref="B5:B6"/>
    <mergeCell ref="AM1:AS1"/>
    <mergeCell ref="AM9:AM10"/>
    <mergeCell ref="AO5:AO6"/>
    <mergeCell ref="AP5:AP6"/>
    <mergeCell ref="AN5:AN6"/>
    <mergeCell ref="AQ5:AQ6"/>
    <mergeCell ref="AS16:AS17"/>
    <mergeCell ref="AR14:AR15"/>
    <mergeCell ref="AS14:AS15"/>
    <mergeCell ref="AM12:AM13"/>
    <mergeCell ref="AN12:AN13"/>
    <mergeCell ref="AO12:AO13"/>
    <mergeCell ref="AP12:AP13"/>
    <mergeCell ref="AQ16:AQ17"/>
    <mergeCell ref="AR16:AR17"/>
    <mergeCell ref="AN14:AN15"/>
    <mergeCell ref="AO14:AO15"/>
    <mergeCell ref="AP14:AP15"/>
    <mergeCell ref="AQ14:AQ15"/>
    <mergeCell ref="AQ12:AQ13"/>
    <mergeCell ref="AR12:AR13"/>
    <mergeCell ref="AL16:AL17"/>
    <mergeCell ref="AM16:AM17"/>
    <mergeCell ref="AN16:AN17"/>
    <mergeCell ref="AO16:AO17"/>
    <mergeCell ref="AP16:AP17"/>
  </mergeCells>
  <phoneticPr fontId="47" type="noConversion"/>
  <conditionalFormatting sqref="F5:AJ6 F9:AJ10">
    <cfRule type="expression" dxfId="63" priority="55" stopIfTrue="1">
      <formula>IF(WEEKDAY(F$5)=1,TRUE,FALSE)</formula>
    </cfRule>
  </conditionalFormatting>
  <conditionalFormatting sqref="F9:AJ10">
    <cfRule type="expression" dxfId="62" priority="52" stopIfTrue="1">
      <formula>IF(WEEKDAY(F$5)=1,TRUE,FALSE)</formula>
    </cfRule>
  </conditionalFormatting>
  <conditionalFormatting sqref="F12:AJ17">
    <cfRule type="expression" dxfId="61" priority="2" stopIfTrue="1">
      <formula>IF(WEEKDAY(F$5)=1,TRUE,FALSE)</formula>
    </cfRule>
  </conditionalFormatting>
  <conditionalFormatting sqref="F12:AJ17">
    <cfRule type="expression" dxfId="6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3" tint="-0.249977111117893"/>
  </sheetPr>
  <dimension ref="A1:AE29"/>
  <sheetViews>
    <sheetView zoomScaleNormal="70" workbookViewId="0">
      <pane xSplit="3" ySplit="8" topLeftCell="G10" activePane="bottomRight" state="frozen"/>
      <selection activeCell="A2" sqref="A2:A3"/>
      <selection pane="topRight" activeCell="A2" sqref="A2:A3"/>
      <selection pane="bottomLeft" activeCell="A2" sqref="A2:A3"/>
      <selection pane="bottomRight" activeCell="B15" sqref="B15:B16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78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26"/>
      <c r="B1" s="39"/>
      <c r="C1" s="39"/>
      <c r="D1" s="273" t="str">
        <f>"BẢNG THANH TOÁN LƯƠNG THÁNG"&amp;" "&amp;TEXT($E$4,"mm")&amp;" / "&amp;TEXT($E$4,"yyyy")</f>
        <v>BẢNG THANH TOÁN LƯƠNG THÁNG 05 / 2017</v>
      </c>
      <c r="E1" s="273"/>
      <c r="F1" s="273"/>
      <c r="G1" s="273"/>
      <c r="H1" s="273"/>
      <c r="I1" s="273"/>
      <c r="J1" s="273"/>
      <c r="K1" s="273"/>
      <c r="L1" s="273"/>
      <c r="M1" s="273"/>
      <c r="N1" s="273"/>
      <c r="O1" s="273"/>
      <c r="P1" s="273"/>
      <c r="Q1" s="274"/>
      <c r="R1" s="275" t="s">
        <v>79</v>
      </c>
      <c r="S1" s="276"/>
      <c r="T1" s="277"/>
      <c r="U1" s="117" t="s">
        <v>51</v>
      </c>
      <c r="V1" s="97" t="s">
        <v>33</v>
      </c>
      <c r="W1" s="70"/>
      <c r="X1" s="70"/>
      <c r="Y1" s="5"/>
      <c r="Z1" s="5"/>
    </row>
    <row r="2" spans="1:31" s="4" customFormat="1" ht="15" customHeight="1">
      <c r="A2" s="126"/>
      <c r="B2" s="39"/>
      <c r="C2" s="39"/>
      <c r="D2" s="39"/>
      <c r="E2" s="68"/>
      <c r="F2" s="39"/>
      <c r="G2" s="39"/>
      <c r="H2" s="39"/>
      <c r="I2" s="39"/>
      <c r="J2" s="69"/>
      <c r="K2" s="39"/>
      <c r="L2" s="39"/>
      <c r="M2" s="159"/>
      <c r="N2" s="39"/>
      <c r="O2" s="39"/>
      <c r="P2" s="39"/>
      <c r="Q2" s="39"/>
      <c r="R2" s="39"/>
      <c r="S2" s="39"/>
      <c r="T2" s="46"/>
      <c r="U2" s="67">
        <f>MAX(F10:F18)</f>
        <v>25</v>
      </c>
      <c r="V2" s="98">
        <v>31</v>
      </c>
      <c r="W2" s="70"/>
      <c r="X2" s="70"/>
      <c r="Y2" s="5"/>
      <c r="Z2" s="5"/>
    </row>
    <row r="3" spans="1:31" s="4" customFormat="1" ht="15" customHeight="1">
      <c r="A3" s="126"/>
      <c r="B3" s="39"/>
      <c r="C3" s="39"/>
      <c r="D3" s="39"/>
      <c r="E3" s="68"/>
      <c r="F3" s="39"/>
      <c r="G3" s="39"/>
      <c r="H3" s="39"/>
      <c r="I3" s="39"/>
      <c r="J3" s="69"/>
      <c r="K3" s="39"/>
      <c r="L3" s="39"/>
      <c r="M3" s="159"/>
      <c r="N3" s="39"/>
      <c r="O3" s="39"/>
      <c r="P3" s="39"/>
      <c r="Q3" s="39"/>
      <c r="R3" s="39"/>
      <c r="S3" s="39"/>
      <c r="T3" s="46"/>
      <c r="U3" s="118"/>
      <c r="V3" s="119"/>
      <c r="W3" s="70"/>
      <c r="X3" s="70"/>
      <c r="Y3" s="5"/>
      <c r="Z3" s="5"/>
    </row>
    <row r="4" spans="1:31" s="92" customFormat="1" ht="14.25" customHeight="1">
      <c r="A4" s="90"/>
      <c r="B4" s="91"/>
      <c r="C4" s="91"/>
      <c r="D4" s="91"/>
      <c r="E4" s="175">
        <f>'CC -5'!$E$4</f>
        <v>42856</v>
      </c>
      <c r="F4" s="91"/>
      <c r="G4" s="91"/>
      <c r="H4" s="91"/>
      <c r="I4" s="91"/>
      <c r="J4" s="91"/>
      <c r="K4" s="91"/>
      <c r="L4" s="91"/>
      <c r="M4" s="91"/>
      <c r="N4" s="148">
        <v>0.08</v>
      </c>
      <c r="O4" s="148">
        <v>1.4999999999999999E-2</v>
      </c>
      <c r="P4" s="148">
        <v>0.01</v>
      </c>
      <c r="Q4" s="91"/>
      <c r="R4" s="91"/>
      <c r="S4" s="91"/>
      <c r="T4" s="91"/>
      <c r="U4" s="91"/>
      <c r="V4" s="93"/>
      <c r="W4" s="93"/>
      <c r="X4" s="93"/>
      <c r="Y4" s="93"/>
      <c r="Z4" s="93"/>
    </row>
    <row r="5" spans="1:31" s="21" customFormat="1" ht="24" customHeight="1">
      <c r="A5" s="278" t="s">
        <v>19</v>
      </c>
      <c r="B5" s="278" t="s">
        <v>20</v>
      </c>
      <c r="C5" s="232" t="s">
        <v>1</v>
      </c>
      <c r="D5" s="232" t="s">
        <v>2</v>
      </c>
      <c r="E5" s="235" t="s">
        <v>49</v>
      </c>
      <c r="F5" s="280" t="s">
        <v>24</v>
      </c>
      <c r="G5" s="281"/>
      <c r="H5" s="281"/>
      <c r="I5" s="281"/>
      <c r="J5" s="281"/>
      <c r="K5" s="282"/>
      <c r="L5" s="269" t="s">
        <v>50</v>
      </c>
      <c r="M5" s="269" t="s">
        <v>5</v>
      </c>
      <c r="N5" s="232" t="s">
        <v>6</v>
      </c>
      <c r="O5" s="232"/>
      <c r="P5" s="232"/>
      <c r="Q5" s="269" t="s">
        <v>7</v>
      </c>
      <c r="R5" s="269" t="s">
        <v>8</v>
      </c>
      <c r="S5" s="269" t="s">
        <v>9</v>
      </c>
      <c r="T5" s="233" t="s">
        <v>10</v>
      </c>
      <c r="U5" s="91"/>
      <c r="V5" s="22"/>
      <c r="W5" s="22"/>
      <c r="X5" s="5"/>
      <c r="Y5" s="5"/>
      <c r="Z5" s="5"/>
      <c r="AA5" s="4"/>
      <c r="AB5" s="4"/>
      <c r="AC5" s="4"/>
      <c r="AD5" s="4"/>
      <c r="AE5" s="4"/>
    </row>
    <row r="6" spans="1:31" s="21" customFormat="1" ht="33.75" customHeight="1">
      <c r="A6" s="279"/>
      <c r="B6" s="279"/>
      <c r="C6" s="232"/>
      <c r="D6" s="232"/>
      <c r="E6" s="235"/>
      <c r="F6" s="280" t="s">
        <v>52</v>
      </c>
      <c r="G6" s="282"/>
      <c r="H6" s="280" t="s">
        <v>71</v>
      </c>
      <c r="I6" s="281"/>
      <c r="J6" s="267" t="s">
        <v>25</v>
      </c>
      <c r="K6" s="269" t="s">
        <v>4</v>
      </c>
      <c r="L6" s="270"/>
      <c r="M6" s="270"/>
      <c r="N6" s="271" t="s">
        <v>12</v>
      </c>
      <c r="O6" s="269" t="s">
        <v>13</v>
      </c>
      <c r="P6" s="269" t="s">
        <v>31</v>
      </c>
      <c r="Q6" s="270"/>
      <c r="R6" s="270"/>
      <c r="S6" s="270"/>
      <c r="T6" s="234"/>
      <c r="U6" s="91"/>
      <c r="V6" s="22"/>
      <c r="W6" s="22"/>
      <c r="X6" s="5"/>
      <c r="Y6" s="5"/>
      <c r="Z6" s="5"/>
      <c r="AA6" s="4"/>
      <c r="AB6" s="4"/>
      <c r="AC6" s="4"/>
      <c r="AD6" s="4"/>
      <c r="AE6" s="4"/>
    </row>
    <row r="7" spans="1:31" s="21" customFormat="1" ht="35.25" customHeight="1">
      <c r="A7" s="279"/>
      <c r="B7" s="279"/>
      <c r="C7" s="269"/>
      <c r="D7" s="269"/>
      <c r="E7" s="235"/>
      <c r="F7" s="27" t="s">
        <v>34</v>
      </c>
      <c r="G7" s="28" t="s">
        <v>18</v>
      </c>
      <c r="H7" s="156" t="s">
        <v>34</v>
      </c>
      <c r="I7" s="115" t="s">
        <v>18</v>
      </c>
      <c r="J7" s="268"/>
      <c r="K7" s="270"/>
      <c r="L7" s="283"/>
      <c r="M7" s="283"/>
      <c r="N7" s="272"/>
      <c r="O7" s="270"/>
      <c r="P7" s="270"/>
      <c r="Q7" s="270"/>
      <c r="R7" s="270"/>
      <c r="S7" s="270"/>
      <c r="T7" s="234"/>
      <c r="U7" s="91"/>
      <c r="V7" s="22"/>
      <c r="W7" s="22"/>
      <c r="X7" s="5"/>
      <c r="Y7" s="5"/>
      <c r="Z7" s="5"/>
      <c r="AA7" s="4"/>
      <c r="AB7" s="4"/>
      <c r="AC7" s="4"/>
      <c r="AD7" s="4"/>
      <c r="AE7" s="4"/>
    </row>
    <row r="8" spans="1:31" s="72" customFormat="1" ht="12.75" customHeight="1">
      <c r="A8" s="71">
        <v>1</v>
      </c>
      <c r="B8" s="71">
        <v>1</v>
      </c>
      <c r="C8" s="71">
        <v>2</v>
      </c>
      <c r="D8" s="71">
        <v>3</v>
      </c>
      <c r="E8" s="71">
        <v>4</v>
      </c>
      <c r="F8" s="71">
        <v>5</v>
      </c>
      <c r="G8" s="71">
        <v>6</v>
      </c>
      <c r="H8" s="71">
        <v>7</v>
      </c>
      <c r="I8" s="71">
        <v>8</v>
      </c>
      <c r="J8" s="71">
        <v>9</v>
      </c>
      <c r="K8" s="71">
        <v>10</v>
      </c>
      <c r="L8" s="71">
        <v>11</v>
      </c>
      <c r="M8" s="71">
        <v>12</v>
      </c>
      <c r="N8" s="71">
        <v>13</v>
      </c>
      <c r="O8" s="71">
        <v>14</v>
      </c>
      <c r="P8" s="71">
        <v>15</v>
      </c>
      <c r="Q8" s="71">
        <v>16</v>
      </c>
      <c r="R8" s="71">
        <v>17</v>
      </c>
      <c r="S8" s="71">
        <v>18</v>
      </c>
      <c r="T8" s="71">
        <v>19</v>
      </c>
      <c r="U8" s="91"/>
      <c r="V8" s="73"/>
      <c r="W8" s="73"/>
      <c r="X8" s="74"/>
      <c r="Y8" s="74"/>
      <c r="Z8" s="74"/>
      <c r="AA8" s="75"/>
      <c r="AB8" s="75"/>
      <c r="AC8" s="75"/>
      <c r="AD8" s="75"/>
      <c r="AE8" s="75"/>
    </row>
    <row r="9" spans="1:31" s="72" customFormat="1" ht="24" customHeight="1">
      <c r="A9" s="174" t="s">
        <v>68</v>
      </c>
      <c r="B9" s="173" t="s">
        <v>80</v>
      </c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2"/>
      <c r="Q9" s="172"/>
      <c r="R9" s="172"/>
      <c r="S9" s="172"/>
      <c r="T9" s="172"/>
      <c r="U9" s="91"/>
      <c r="V9" s="73"/>
      <c r="W9" s="73"/>
      <c r="X9" s="74"/>
      <c r="Y9" s="74"/>
      <c r="Z9" s="74"/>
      <c r="AA9" s="75"/>
      <c r="AB9" s="75"/>
      <c r="AC9" s="75"/>
      <c r="AD9" s="75"/>
      <c r="AE9" s="75"/>
    </row>
    <row r="10" spans="1:31" s="29" customFormat="1" ht="24" customHeight="1">
      <c r="A10" s="31">
        <v>1</v>
      </c>
      <c r="B10" s="128" t="s">
        <v>74</v>
      </c>
      <c r="C10" s="76" t="str">
        <f t="shared" ref="C10" si="0">VLOOKUP(B10,DS,2,0)</f>
        <v>Nguyễn Thị Kim Quyên</v>
      </c>
      <c r="D10" s="103" t="str">
        <f t="shared" ref="D10" si="1">VLOOKUP(B10,DS,3,0)</f>
        <v>Văn Phòng</v>
      </c>
      <c r="E10" s="77">
        <f t="shared" ref="E10" si="2">VLOOKUP(B10,DS,4,0)</f>
        <v>4000000</v>
      </c>
      <c r="F10" s="79">
        <f>VLOOKUP(B10,'CC -5'!$B$8:$AS$17,36,0)</f>
        <v>25</v>
      </c>
      <c r="G10" s="132">
        <f t="shared" ref="G10" si="3">ROUND(E10/$U$2*F10,0)</f>
        <v>4000000</v>
      </c>
      <c r="H10" s="79">
        <f>(VLOOKUP(B10,'CC -5'!$B$8:$AS$17,37,0)+VLOOKUP(B10,'CC -5'!$B$8:$AS$17,38,0))</f>
        <v>0</v>
      </c>
      <c r="I10" s="132">
        <f t="shared" ref="I10" si="4">ROUND(E10/$U$2*H10,0)</f>
        <v>0</v>
      </c>
      <c r="J10" s="80">
        <f t="shared" ref="J10" si="5">F10+H10</f>
        <v>25</v>
      </c>
      <c r="K10" s="32">
        <f>G10+I10</f>
        <v>4000000</v>
      </c>
      <c r="L10" s="77">
        <f t="shared" ref="L10" si="6">+F10*15000</f>
        <v>375000</v>
      </c>
      <c r="M10" s="33">
        <f t="shared" ref="M10" si="7">K10+L10</f>
        <v>4375000</v>
      </c>
      <c r="N10" s="33">
        <f>IF(VLOOKUP($B10,DS,17,0)="x",$E10*N$4,0)</f>
        <v>0</v>
      </c>
      <c r="O10" s="33">
        <f>IF(VLOOKUP($B10,DS,17,0)="x",$E10*O$4,0)</f>
        <v>0</v>
      </c>
      <c r="P10" s="33">
        <f>IF(VLOOKUP($B10,DS,17,0)="x",$E10*P$4,0)</f>
        <v>0</v>
      </c>
      <c r="Q10" s="32">
        <f t="shared" ref="Q10" si="8">M10-SUM(N10:P10)</f>
        <v>4375000</v>
      </c>
      <c r="R10" s="32">
        <f>VLOOKUP(B10,DS,23,0)</f>
        <v>0</v>
      </c>
      <c r="S10" s="38">
        <f t="shared" ref="S10" si="9">Q10-R10</f>
        <v>4375000</v>
      </c>
      <c r="T10" s="32"/>
      <c r="U10" s="91"/>
      <c r="V10" s="30"/>
      <c r="W10" s="22"/>
      <c r="X10" s="5"/>
      <c r="Y10" s="5"/>
      <c r="Z10" s="5"/>
      <c r="AA10" s="4"/>
      <c r="AB10" s="4"/>
      <c r="AC10" s="4"/>
      <c r="AD10" s="4"/>
      <c r="AE10" s="4"/>
    </row>
    <row r="11" spans="1:31" s="29" customFormat="1" ht="24" customHeight="1">
      <c r="A11" s="187"/>
      <c r="B11" s="188"/>
      <c r="C11" s="189"/>
      <c r="D11" s="190"/>
      <c r="E11" s="191"/>
      <c r="F11" s="192"/>
      <c r="G11" s="193"/>
      <c r="H11" s="192"/>
      <c r="I11" s="193"/>
      <c r="J11" s="194"/>
      <c r="K11" s="195"/>
      <c r="L11" s="191"/>
      <c r="M11" s="196"/>
      <c r="N11" s="196"/>
      <c r="O11" s="196"/>
      <c r="P11" s="196"/>
      <c r="Q11" s="195"/>
      <c r="R11" s="195"/>
      <c r="S11" s="197"/>
      <c r="T11" s="195"/>
      <c r="U11" s="91"/>
      <c r="V11" s="30"/>
      <c r="W11" s="22"/>
      <c r="X11" s="5"/>
      <c r="Y11" s="5"/>
      <c r="Z11" s="5"/>
      <c r="AA11" s="4"/>
      <c r="AB11" s="4"/>
      <c r="AC11" s="4"/>
      <c r="AD11" s="4"/>
      <c r="AE11" s="4"/>
    </row>
    <row r="12" spans="1:31" s="25" customFormat="1" ht="21" customHeight="1">
      <c r="A12" s="221" t="s">
        <v>23</v>
      </c>
      <c r="B12" s="222"/>
      <c r="C12" s="222"/>
      <c r="D12" s="223"/>
      <c r="E12" s="127">
        <f>SUM(E9:E10)</f>
        <v>4000000</v>
      </c>
      <c r="F12" s="127"/>
      <c r="G12" s="127">
        <f>SUM(G9:G10)</f>
        <v>4000000</v>
      </c>
      <c r="H12" s="127"/>
      <c r="I12" s="127">
        <f>SUM(I9:I10)</f>
        <v>0</v>
      </c>
      <c r="J12" s="127"/>
      <c r="K12" s="127">
        <f t="shared" ref="K12:S12" si="10">SUM(K9:K10)</f>
        <v>4000000</v>
      </c>
      <c r="L12" s="127">
        <f t="shared" si="10"/>
        <v>375000</v>
      </c>
      <c r="M12" s="127">
        <f t="shared" si="10"/>
        <v>4375000</v>
      </c>
      <c r="N12" s="127">
        <f t="shared" si="10"/>
        <v>0</v>
      </c>
      <c r="O12" s="127">
        <f t="shared" si="10"/>
        <v>0</v>
      </c>
      <c r="P12" s="127">
        <f t="shared" si="10"/>
        <v>0</v>
      </c>
      <c r="Q12" s="127">
        <f t="shared" si="10"/>
        <v>4375000</v>
      </c>
      <c r="R12" s="127">
        <f t="shared" si="10"/>
        <v>0</v>
      </c>
      <c r="S12" s="127">
        <f t="shared" si="10"/>
        <v>4375000</v>
      </c>
      <c r="T12" s="20"/>
      <c r="U12" s="91"/>
      <c r="V12" s="26"/>
      <c r="W12" s="26"/>
      <c r="X12" s="26"/>
      <c r="Y12" s="26"/>
      <c r="Z12" s="26"/>
    </row>
    <row r="13" spans="1:31" s="72" customFormat="1" ht="24" customHeight="1">
      <c r="A13" s="174" t="s">
        <v>69</v>
      </c>
      <c r="B13" s="173" t="s">
        <v>70</v>
      </c>
      <c r="C13" s="172"/>
      <c r="D13" s="172"/>
      <c r="E13" s="172"/>
      <c r="F13" s="172"/>
      <c r="G13" s="172"/>
      <c r="H13" s="172"/>
      <c r="I13" s="172"/>
      <c r="J13" s="172"/>
      <c r="K13" s="172"/>
      <c r="L13" s="172"/>
      <c r="M13" s="172"/>
      <c r="N13" s="172"/>
      <c r="O13" s="172"/>
      <c r="P13" s="172"/>
      <c r="Q13" s="172"/>
      <c r="R13" s="172"/>
      <c r="S13" s="172"/>
      <c r="T13" s="172"/>
      <c r="U13" s="91"/>
      <c r="V13" s="73"/>
      <c r="W13" s="73"/>
      <c r="X13" s="74"/>
      <c r="Y13" s="74"/>
      <c r="Z13" s="74"/>
      <c r="AA13" s="75"/>
      <c r="AB13" s="75"/>
      <c r="AC13" s="75"/>
      <c r="AD13" s="75"/>
      <c r="AE13" s="75"/>
    </row>
    <row r="14" spans="1:31" s="29" customFormat="1" ht="24" customHeight="1">
      <c r="A14" s="31">
        <v>1</v>
      </c>
      <c r="B14" s="128" t="s">
        <v>75</v>
      </c>
      <c r="C14" s="76" t="str">
        <f t="shared" ref="C14:C16" si="11">VLOOKUP(B14,DS,2,0)</f>
        <v>Lê Văn Hữu</v>
      </c>
      <c r="D14" s="103" t="str">
        <f t="shared" ref="D14:D16" si="12">VLOOKUP(B14,DS,3,0)</f>
        <v>Công Đoạn 1</v>
      </c>
      <c r="E14" s="77">
        <f t="shared" ref="E14:E16" si="13">VLOOKUP(B14,DS,4,0)</f>
        <v>3200000</v>
      </c>
      <c r="F14" s="79">
        <f>VLOOKUP(B14,'CC -5'!$B$8:$AS$17,36,0)</f>
        <v>25</v>
      </c>
      <c r="G14" s="132">
        <f t="shared" ref="G14:G16" si="14">ROUND(E14/$U$2*F14,0)</f>
        <v>3200000</v>
      </c>
      <c r="H14" s="79">
        <f>(VLOOKUP(B14,'CC -5'!$B$8:$AS$17,37,0)+VLOOKUP(B14,'CC -5'!$B$8:$AS$17,38,0))</f>
        <v>0</v>
      </c>
      <c r="I14" s="132">
        <f t="shared" ref="I14:I16" si="15">ROUND(E14/$U$2*H14,0)</f>
        <v>0</v>
      </c>
      <c r="J14" s="133">
        <f t="shared" ref="J14:J16" si="16">F14+H14</f>
        <v>25</v>
      </c>
      <c r="K14" s="32">
        <f t="shared" ref="K14:K16" si="17">G14+I14</f>
        <v>3200000</v>
      </c>
      <c r="L14" s="77">
        <f t="shared" ref="L14:L16" si="18">+F14*15000</f>
        <v>375000</v>
      </c>
      <c r="M14" s="33">
        <f t="shared" ref="M14:M16" si="19">K14+L14</f>
        <v>3575000</v>
      </c>
      <c r="N14" s="33">
        <f t="shared" ref="N14:P16" si="20">IF(VLOOKUP($B14,DS,17,0)="x",$E14*N$4,0)</f>
        <v>0</v>
      </c>
      <c r="O14" s="33">
        <f t="shared" si="20"/>
        <v>0</v>
      </c>
      <c r="P14" s="33">
        <f t="shared" si="20"/>
        <v>0</v>
      </c>
      <c r="Q14" s="32">
        <f>M14-SUM(N14:P14)</f>
        <v>3575000</v>
      </c>
      <c r="R14" s="32">
        <f t="shared" ref="R14:R16" si="21">VLOOKUP(B14,DS,23,0)</f>
        <v>0</v>
      </c>
      <c r="S14" s="38">
        <f>Q14-R14</f>
        <v>3575000</v>
      </c>
      <c r="T14" s="32"/>
      <c r="U14" s="91"/>
      <c r="V14" s="30"/>
      <c r="W14" s="22"/>
      <c r="X14" s="5"/>
      <c r="Y14" s="5"/>
      <c r="Z14" s="5"/>
      <c r="AA14" s="4"/>
      <c r="AB14" s="4"/>
      <c r="AC14" s="4"/>
      <c r="AD14" s="4"/>
      <c r="AE14" s="4"/>
    </row>
    <row r="15" spans="1:31" s="29" customFormat="1" ht="24" customHeight="1">
      <c r="A15" s="31">
        <v>2</v>
      </c>
      <c r="B15" s="128" t="s">
        <v>76</v>
      </c>
      <c r="C15" s="76" t="str">
        <f t="shared" ref="C15" si="22">VLOOKUP(B15,DS,2,0)</f>
        <v>Lý Thanh Hải</v>
      </c>
      <c r="D15" s="103" t="str">
        <f t="shared" ref="D15" si="23">VLOOKUP(B15,DS,3,0)</f>
        <v>Công Đoạn 1</v>
      </c>
      <c r="E15" s="77">
        <f t="shared" ref="E15" si="24">VLOOKUP(B15,DS,4,0)</f>
        <v>5000000</v>
      </c>
      <c r="F15" s="79">
        <f>VLOOKUP(B15,'CC -5'!$B$8:$AS$17,36,0)</f>
        <v>25</v>
      </c>
      <c r="G15" s="132">
        <f t="shared" ref="G15" si="25">ROUND(E15/$U$2*F15,0)</f>
        <v>5000000</v>
      </c>
      <c r="H15" s="79">
        <f>(VLOOKUP(B15,'CC -5'!$B$8:$AS$17,37,0)+VLOOKUP(B15,'CC -5'!$B$8:$AS$17,38,0))</f>
        <v>0</v>
      </c>
      <c r="I15" s="132">
        <f t="shared" ref="I15" si="26">ROUND(E15/$U$2*H15,0)</f>
        <v>0</v>
      </c>
      <c r="J15" s="133">
        <f t="shared" ref="J15" si="27">F15+H15</f>
        <v>25</v>
      </c>
      <c r="K15" s="32">
        <f t="shared" ref="K15" si="28">G15+I15</f>
        <v>5000000</v>
      </c>
      <c r="L15" s="77">
        <f t="shared" ref="L15" si="29">+F15*15000</f>
        <v>375000</v>
      </c>
      <c r="M15" s="33">
        <f t="shared" ref="M15" si="30">K15+L15</f>
        <v>5375000</v>
      </c>
      <c r="N15" s="33">
        <f t="shared" si="20"/>
        <v>0</v>
      </c>
      <c r="O15" s="33">
        <f t="shared" si="20"/>
        <v>0</v>
      </c>
      <c r="P15" s="33">
        <f t="shared" si="20"/>
        <v>0</v>
      </c>
      <c r="Q15" s="32">
        <f t="shared" ref="Q15" si="31">M15-SUM(N15:P15)</f>
        <v>5375000</v>
      </c>
      <c r="R15" s="32">
        <f t="shared" ref="R15" si="32">VLOOKUP(B15,DS,23,0)</f>
        <v>0</v>
      </c>
      <c r="S15" s="38">
        <f t="shared" ref="S15" si="33">Q15-R15</f>
        <v>5375000</v>
      </c>
      <c r="T15" s="32"/>
      <c r="U15" s="91"/>
      <c r="V15" s="30"/>
      <c r="W15" s="22"/>
      <c r="X15" s="5"/>
      <c r="Y15" s="5"/>
      <c r="Z15" s="5"/>
      <c r="AA15" s="4"/>
      <c r="AB15" s="4"/>
      <c r="AC15" s="4"/>
      <c r="AD15" s="4"/>
      <c r="AE15" s="4"/>
    </row>
    <row r="16" spans="1:31" s="29" customFormat="1" ht="24" customHeight="1">
      <c r="A16" s="31">
        <v>3</v>
      </c>
      <c r="B16" s="128" t="s">
        <v>77</v>
      </c>
      <c r="C16" s="76" t="str">
        <f t="shared" si="11"/>
        <v>Cao Minh Chí</v>
      </c>
      <c r="D16" s="103" t="str">
        <f t="shared" si="12"/>
        <v>Công Đoạn 2</v>
      </c>
      <c r="E16" s="77">
        <f t="shared" si="13"/>
        <v>3200000</v>
      </c>
      <c r="F16" s="79">
        <f>VLOOKUP(B16,'CC -5'!$B$8:$AS$17,36,0)</f>
        <v>25</v>
      </c>
      <c r="G16" s="132">
        <f t="shared" si="14"/>
        <v>3200000</v>
      </c>
      <c r="H16" s="79">
        <f>(VLOOKUP(B16,'CC -5'!$B$8:$AS$17,37,0)+VLOOKUP(B16,'CC -5'!$B$8:$AS$17,38,0))</f>
        <v>0</v>
      </c>
      <c r="I16" s="132">
        <f t="shared" si="15"/>
        <v>0</v>
      </c>
      <c r="J16" s="133">
        <f t="shared" si="16"/>
        <v>25</v>
      </c>
      <c r="K16" s="32">
        <f t="shared" si="17"/>
        <v>3200000</v>
      </c>
      <c r="L16" s="77">
        <f t="shared" si="18"/>
        <v>375000</v>
      </c>
      <c r="M16" s="33">
        <f t="shared" si="19"/>
        <v>3575000</v>
      </c>
      <c r="N16" s="33">
        <f t="shared" si="20"/>
        <v>0</v>
      </c>
      <c r="O16" s="33">
        <f t="shared" si="20"/>
        <v>0</v>
      </c>
      <c r="P16" s="33">
        <f t="shared" si="20"/>
        <v>0</v>
      </c>
      <c r="Q16" s="32">
        <f t="shared" ref="Q16" si="34">M16-SUM(N16:P16)</f>
        <v>3575000</v>
      </c>
      <c r="R16" s="32">
        <f t="shared" si="21"/>
        <v>0</v>
      </c>
      <c r="S16" s="38">
        <f t="shared" ref="S16" si="35">Q16-R16</f>
        <v>3575000</v>
      </c>
      <c r="T16" s="32"/>
      <c r="U16" s="91"/>
      <c r="V16" s="30"/>
      <c r="W16" s="22"/>
      <c r="X16" s="5"/>
      <c r="Y16" s="5"/>
      <c r="Z16" s="5"/>
      <c r="AA16" s="4"/>
      <c r="AB16" s="4"/>
      <c r="AC16" s="4"/>
      <c r="AD16" s="4"/>
      <c r="AE16" s="4"/>
    </row>
    <row r="17" spans="1:26" s="29" customFormat="1" ht="22.5" customHeight="1">
      <c r="A17" s="34"/>
      <c r="B17" s="171"/>
      <c r="C17" s="35"/>
      <c r="D17" s="3"/>
      <c r="E17" s="36"/>
      <c r="F17" s="36"/>
      <c r="G17" s="36"/>
      <c r="H17" s="36"/>
      <c r="I17" s="36"/>
      <c r="J17" s="37"/>
      <c r="K17" s="36"/>
      <c r="L17" s="36"/>
      <c r="M17" s="170"/>
      <c r="N17" s="36"/>
      <c r="O17" s="36"/>
      <c r="P17" s="36"/>
      <c r="Q17" s="36"/>
      <c r="R17" s="36"/>
      <c r="S17" s="36"/>
      <c r="T17" s="32"/>
      <c r="U17" s="91"/>
      <c r="V17" s="30"/>
      <c r="W17" s="30"/>
      <c r="X17" s="30"/>
      <c r="Y17" s="30"/>
      <c r="Z17" s="30"/>
    </row>
    <row r="18" spans="1:26" s="25" customFormat="1" ht="21" customHeight="1">
      <c r="A18" s="221" t="s">
        <v>23</v>
      </c>
      <c r="B18" s="222"/>
      <c r="C18" s="222"/>
      <c r="D18" s="223"/>
      <c r="E18" s="127">
        <f>SUM(E13:E17)</f>
        <v>11400000</v>
      </c>
      <c r="F18" s="127"/>
      <c r="G18" s="127">
        <f>SUM(G13:G17)</f>
        <v>11400000</v>
      </c>
      <c r="H18" s="127"/>
      <c r="I18" s="127">
        <f>SUM(I13:I17)</f>
        <v>0</v>
      </c>
      <c r="J18" s="127"/>
      <c r="K18" s="127">
        <f t="shared" ref="K18:S18" si="36">SUM(K13:K17)</f>
        <v>11400000</v>
      </c>
      <c r="L18" s="127">
        <f t="shared" si="36"/>
        <v>1125000</v>
      </c>
      <c r="M18" s="127">
        <f t="shared" si="36"/>
        <v>12525000</v>
      </c>
      <c r="N18" s="127">
        <f t="shared" si="36"/>
        <v>0</v>
      </c>
      <c r="O18" s="127">
        <f t="shared" si="36"/>
        <v>0</v>
      </c>
      <c r="P18" s="127">
        <f t="shared" si="36"/>
        <v>0</v>
      </c>
      <c r="Q18" s="127">
        <f t="shared" si="36"/>
        <v>12525000</v>
      </c>
      <c r="R18" s="127">
        <f t="shared" si="36"/>
        <v>0</v>
      </c>
      <c r="S18" s="127">
        <f t="shared" si="36"/>
        <v>12525000</v>
      </c>
      <c r="T18" s="20"/>
      <c r="U18" s="91"/>
      <c r="V18" s="26"/>
      <c r="W18" s="26"/>
      <c r="X18" s="26"/>
      <c r="Y18" s="26"/>
      <c r="Z18" s="26"/>
    </row>
    <row r="19" spans="1:26" ht="11.25" customHeight="1">
      <c r="A19" s="8"/>
      <c r="B19" s="8"/>
      <c r="C19" s="9"/>
      <c r="D19" s="104"/>
      <c r="E19" s="81"/>
      <c r="F19" s="9"/>
      <c r="G19" s="9"/>
      <c r="H19" s="9"/>
      <c r="I19" s="9"/>
      <c r="K19" s="9"/>
      <c r="L19" s="9"/>
      <c r="M19" s="89"/>
      <c r="N19" s="9"/>
      <c r="O19" s="9"/>
      <c r="P19" s="9"/>
      <c r="Q19" s="9"/>
      <c r="R19" s="9"/>
      <c r="S19" s="9"/>
      <c r="T19" s="9"/>
      <c r="U19" s="91"/>
    </row>
    <row r="20" spans="1:26" s="29" customFormat="1" ht="11.25" customHeight="1">
      <c r="A20" s="65"/>
      <c r="B20" s="65"/>
      <c r="C20" s="65"/>
      <c r="D20" s="120"/>
      <c r="E20" s="121"/>
      <c r="F20" s="65"/>
      <c r="G20" s="65"/>
      <c r="H20" s="65"/>
      <c r="I20" s="65"/>
      <c r="J20" s="122"/>
      <c r="K20" s="121"/>
      <c r="L20" s="65"/>
      <c r="M20" s="65"/>
      <c r="N20" s="65"/>
      <c r="O20" s="65"/>
      <c r="P20" s="65"/>
      <c r="Q20" s="65"/>
      <c r="R20" s="65"/>
      <c r="S20" s="95" t="str">
        <f>"Bình Chánh, ngày  "&amp;$V$2&amp;"   tháng   "&amp;TEXT($E$4,"mm")&amp;"   năm "&amp;TEXT($E$4,"yyyy")</f>
        <v>Bình Chánh, ngày  31   tháng   05   năm 2017</v>
      </c>
      <c r="T20" s="65"/>
      <c r="U20" s="123"/>
      <c r="V20" s="30"/>
      <c r="W20" s="30"/>
      <c r="X20" s="30"/>
      <c r="Y20" s="30"/>
      <c r="Z20" s="30"/>
    </row>
    <row r="21" spans="1:26" s="29" customFormat="1" ht="12.75">
      <c r="A21" s="23"/>
      <c r="B21" s="23"/>
      <c r="C21" s="23" t="s">
        <v>53</v>
      </c>
      <c r="D21" s="124"/>
      <c r="E21" s="66"/>
      <c r="F21" s="123"/>
      <c r="G21" s="66"/>
      <c r="H21" s="66"/>
      <c r="I21" s="66"/>
      <c r="J21" s="125"/>
      <c r="K21" s="30"/>
      <c r="L21" s="23"/>
      <c r="M21" s="134"/>
      <c r="N21" s="19"/>
      <c r="O21" s="19"/>
      <c r="P21" s="19"/>
      <c r="Q21" s="19"/>
      <c r="S21" s="123" t="s">
        <v>21</v>
      </c>
      <c r="T21" s="123"/>
      <c r="U21" s="123"/>
      <c r="V21" s="30"/>
      <c r="W21" s="30"/>
      <c r="X21" s="30"/>
      <c r="Y21" s="30"/>
      <c r="Z21" s="30"/>
    </row>
    <row r="22" spans="1:26" ht="12">
      <c r="A22" s="8"/>
      <c r="B22" s="8"/>
      <c r="C22" s="15"/>
      <c r="E22" s="13"/>
      <c r="F22" s="12"/>
      <c r="G22" s="13"/>
      <c r="H22" s="13"/>
      <c r="I22" s="13"/>
      <c r="K22" s="7"/>
      <c r="L22" s="15"/>
      <c r="N22" s="11"/>
      <c r="O22" s="11"/>
      <c r="P22" s="11"/>
      <c r="Q22" s="11"/>
      <c r="S22" s="11"/>
      <c r="T22" s="12"/>
      <c r="U22" s="91"/>
    </row>
    <row r="23" spans="1:26" ht="12">
      <c r="C23" s="15"/>
      <c r="L23" s="15"/>
      <c r="T23" s="15"/>
      <c r="U23" s="91"/>
    </row>
    <row r="24" spans="1:26" ht="12">
      <c r="U24" s="91"/>
    </row>
    <row r="25" spans="1:26" ht="12">
      <c r="U25" s="91"/>
    </row>
    <row r="26" spans="1:26" ht="12">
      <c r="U26" s="91"/>
    </row>
    <row r="27" spans="1:26" ht="12">
      <c r="U27" s="91"/>
    </row>
    <row r="28" spans="1:26" ht="12">
      <c r="U28" s="91"/>
    </row>
    <row r="29" spans="1:26" ht="12">
      <c r="U29" s="91"/>
    </row>
  </sheetData>
  <protectedRanges>
    <protectedRange password="CC78" sqref="V17:IK18 C5:D7 B21:C21 V5:W9 A17:A22 B17:B20 B22 V13:W13 Q5:T7 E5:I6 N5:P6 L5 L21 J6:K7 L7 A24:T57 U30:U57 N17:S17 V24:IK57 J17:L17 A58:IK65325 AF13:IK13 V12:IK12 D12:T12 D18:T18 Q10:S11 W10:W11 AF5:IK11 A10:B12" name="Range1"/>
    <protectedRange password="CC78" sqref="F7:H7" name="Range1_4"/>
    <protectedRange password="CC78" sqref="V21:IK22 S21:T22 N21:Q22 E21:I22" name="Range1_1_1"/>
    <protectedRange password="CC78" sqref="U1 W1:IK3 V4:IK4 B4:T4 R2:S3 B1:Q3 U17:U29 X13:AE13 U4:U13 X5:AE11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AF14:IK16 Q14:S16 W14:W16 A14:B16" name="Range1_5"/>
    <protectedRange password="CC78" sqref="X14:AE16 U14:U16" name="Range1_2_3"/>
    <protectedRange password="CC78" sqref="V14:V16" name="Range1_1_3"/>
    <protectedRange password="CC78" sqref="K10:K11 K14:K16" name="Range1_6"/>
    <protectedRange password="CC78" sqref="A2:A3" name="Range1_2_1_3"/>
    <protectedRange password="CC78" sqref="U2" name="Range1_2_2_1_1"/>
  </protectedRanges>
  <autoFilter ref="A7:AE10"/>
  <mergeCells count="22">
    <mergeCell ref="A5:A7"/>
    <mergeCell ref="L5:L7"/>
    <mergeCell ref="B5:B7"/>
    <mergeCell ref="F6:G6"/>
    <mergeCell ref="C5:C7"/>
    <mergeCell ref="D5:D7"/>
    <mergeCell ref="F5:K5"/>
    <mergeCell ref="K6:K7"/>
    <mergeCell ref="J6:J7"/>
    <mergeCell ref="H6:I6"/>
    <mergeCell ref="E5:E7"/>
    <mergeCell ref="S5:S7"/>
    <mergeCell ref="M5:M7"/>
    <mergeCell ref="R1:T1"/>
    <mergeCell ref="Q5:Q7"/>
    <mergeCell ref="N5:P5"/>
    <mergeCell ref="R5:R7"/>
    <mergeCell ref="O6:O7"/>
    <mergeCell ref="N6:N7"/>
    <mergeCell ref="P6:P7"/>
    <mergeCell ref="T5:T7"/>
    <mergeCell ref="D1:Q1"/>
  </mergeCells>
  <phoneticPr fontId="47" type="noConversion"/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B14" sqref="B14:B1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77" customWidth="1"/>
    <col min="5" max="5" width="7.140625" style="2" customWidth="1"/>
    <col min="6" max="33" width="3.42578125" style="110" customWidth="1"/>
    <col min="34" max="35" width="3.42578125" style="111" customWidth="1"/>
    <col min="36" max="36" width="3.42578125" style="111" hidden="1" customWidth="1"/>
    <col min="37" max="38" width="4.42578125" style="2" customWidth="1"/>
    <col min="39" max="39" width="5.5703125" style="8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6"/>
      <c r="B1" s="41"/>
      <c r="C1" s="41"/>
      <c r="D1" s="45"/>
      <c r="E1" s="41"/>
      <c r="F1" s="45"/>
      <c r="G1" s="45"/>
      <c r="H1" s="45"/>
      <c r="I1" s="45"/>
      <c r="J1" s="45"/>
      <c r="K1" s="106"/>
      <c r="L1" s="106"/>
      <c r="M1" s="106"/>
      <c r="N1" s="106"/>
      <c r="O1" s="106"/>
      <c r="P1" s="106"/>
      <c r="Q1" s="106"/>
      <c r="R1" s="106"/>
      <c r="S1" s="43" t="str">
        <f>CONCATENATE("BẢNG CHẤM CÔNG THÁNG ",TEXT($E$4,"mm")," NĂM ",TEXT($E$4,"yyyy"))</f>
        <v>BẢNG CHẤM CÔNG THÁNG 06 NĂM 2017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42"/>
      <c r="AL1" s="42"/>
      <c r="AM1" s="259" t="s">
        <v>79</v>
      </c>
      <c r="AN1" s="260"/>
      <c r="AO1" s="260"/>
      <c r="AP1" s="260"/>
      <c r="AQ1" s="260"/>
      <c r="AR1" s="260"/>
      <c r="AS1" s="261"/>
      <c r="AT1" s="44"/>
    </row>
    <row r="2" spans="1:91" ht="20.25">
      <c r="A2" s="126"/>
      <c r="B2" s="45"/>
      <c r="C2" s="45"/>
      <c r="D2" s="45"/>
      <c r="E2" s="45"/>
      <c r="F2" s="45"/>
      <c r="G2" s="45"/>
      <c r="H2" s="45"/>
      <c r="I2" s="45"/>
      <c r="J2" s="45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42"/>
      <c r="AL2" s="42"/>
      <c r="AM2" s="83"/>
      <c r="AN2" s="46"/>
      <c r="AO2" s="46"/>
      <c r="AP2" s="46"/>
      <c r="AQ2" s="46"/>
      <c r="AR2" s="46"/>
      <c r="AS2" s="82"/>
      <c r="AT2" s="82"/>
    </row>
    <row r="3" spans="1:91" ht="21" customHeight="1">
      <c r="A3" s="126"/>
      <c r="B3" s="47"/>
      <c r="C3" s="47"/>
      <c r="D3" s="48"/>
      <c r="E3" s="48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42"/>
      <c r="AL3" s="42"/>
      <c r="AM3" s="83"/>
      <c r="AN3" s="44"/>
      <c r="AO3" s="44"/>
      <c r="AP3" s="44"/>
      <c r="AQ3" s="44"/>
      <c r="AR3" s="44"/>
      <c r="AS3" s="49"/>
      <c r="AT3" s="49"/>
    </row>
    <row r="4" spans="1:91" ht="14.25" customHeight="1">
      <c r="A4" s="50"/>
      <c r="B4" s="50"/>
      <c r="C4" s="142"/>
      <c r="D4" s="141"/>
      <c r="E4" s="51">
        <v>42887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3"/>
      <c r="AI4" s="53"/>
      <c r="AJ4" s="53"/>
      <c r="AK4" s="50"/>
      <c r="AL4" s="50"/>
      <c r="AM4" s="84"/>
      <c r="AN4" s="50"/>
      <c r="AO4" s="50"/>
      <c r="AP4" s="50"/>
      <c r="AQ4" s="50"/>
      <c r="AR4" s="50"/>
      <c r="AS4" s="50"/>
      <c r="AT4" s="88"/>
    </row>
    <row r="5" spans="1:91" s="54" customFormat="1" ht="18.75" customHeight="1">
      <c r="A5" s="256" t="s">
        <v>26</v>
      </c>
      <c r="B5" s="256" t="s">
        <v>3</v>
      </c>
      <c r="C5" s="256" t="s">
        <v>1</v>
      </c>
      <c r="D5" s="258" t="s">
        <v>27</v>
      </c>
      <c r="E5" s="256" t="s">
        <v>28</v>
      </c>
      <c r="F5" s="105">
        <f>+E4</f>
        <v>42887</v>
      </c>
      <c r="G5" s="105">
        <f t="shared" ref="G5:AJ5" si="0">F5+1</f>
        <v>42888</v>
      </c>
      <c r="H5" s="105">
        <f t="shared" si="0"/>
        <v>42889</v>
      </c>
      <c r="I5" s="105">
        <f t="shared" si="0"/>
        <v>42890</v>
      </c>
      <c r="J5" s="105">
        <f t="shared" si="0"/>
        <v>42891</v>
      </c>
      <c r="K5" s="105">
        <f t="shared" si="0"/>
        <v>42892</v>
      </c>
      <c r="L5" s="105">
        <f t="shared" si="0"/>
        <v>42893</v>
      </c>
      <c r="M5" s="105">
        <f t="shared" si="0"/>
        <v>42894</v>
      </c>
      <c r="N5" s="105">
        <f t="shared" si="0"/>
        <v>42895</v>
      </c>
      <c r="O5" s="105">
        <f t="shared" si="0"/>
        <v>42896</v>
      </c>
      <c r="P5" s="105">
        <f t="shared" si="0"/>
        <v>42897</v>
      </c>
      <c r="Q5" s="105">
        <f t="shared" si="0"/>
        <v>42898</v>
      </c>
      <c r="R5" s="105">
        <f t="shared" si="0"/>
        <v>42899</v>
      </c>
      <c r="S5" s="105">
        <f t="shared" si="0"/>
        <v>42900</v>
      </c>
      <c r="T5" s="105">
        <f t="shared" si="0"/>
        <v>42901</v>
      </c>
      <c r="U5" s="105">
        <f t="shared" si="0"/>
        <v>42902</v>
      </c>
      <c r="V5" s="105">
        <f t="shared" si="0"/>
        <v>42903</v>
      </c>
      <c r="W5" s="105">
        <f t="shared" si="0"/>
        <v>42904</v>
      </c>
      <c r="X5" s="105">
        <f t="shared" si="0"/>
        <v>42905</v>
      </c>
      <c r="Y5" s="105">
        <f t="shared" si="0"/>
        <v>42906</v>
      </c>
      <c r="Z5" s="105">
        <f t="shared" si="0"/>
        <v>42907</v>
      </c>
      <c r="AA5" s="105">
        <f t="shared" si="0"/>
        <v>42908</v>
      </c>
      <c r="AB5" s="105">
        <f t="shared" si="0"/>
        <v>42909</v>
      </c>
      <c r="AC5" s="105">
        <f t="shared" si="0"/>
        <v>42910</v>
      </c>
      <c r="AD5" s="105">
        <f t="shared" si="0"/>
        <v>42911</v>
      </c>
      <c r="AE5" s="105">
        <f t="shared" si="0"/>
        <v>42912</v>
      </c>
      <c r="AF5" s="105">
        <f t="shared" si="0"/>
        <v>42913</v>
      </c>
      <c r="AG5" s="105">
        <f t="shared" si="0"/>
        <v>42914</v>
      </c>
      <c r="AH5" s="105">
        <f>AG5+1</f>
        <v>42915</v>
      </c>
      <c r="AI5" s="105">
        <f t="shared" si="0"/>
        <v>42916</v>
      </c>
      <c r="AJ5" s="105">
        <f t="shared" si="0"/>
        <v>42917</v>
      </c>
      <c r="AK5" s="262" t="s">
        <v>15</v>
      </c>
      <c r="AL5" s="263"/>
      <c r="AM5" s="264"/>
      <c r="AN5" s="265" t="s">
        <v>39</v>
      </c>
      <c r="AO5" s="265" t="s">
        <v>35</v>
      </c>
      <c r="AP5" s="265" t="s">
        <v>36</v>
      </c>
      <c r="AQ5" s="265" t="s">
        <v>37</v>
      </c>
      <c r="AR5" s="265" t="s">
        <v>38</v>
      </c>
      <c r="AS5" s="258" t="s">
        <v>0</v>
      </c>
      <c r="AT5" s="25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4" customFormat="1" ht="39.75" customHeight="1">
      <c r="A6" s="257"/>
      <c r="B6" s="257"/>
      <c r="C6" s="257"/>
      <c r="D6" s="257"/>
      <c r="E6" s="257"/>
      <c r="F6" s="160" t="str">
        <f>CHOOSE(WEEKDAY(F5),"C.Nhật","T.Hai","T.Ba","T.Tư","T.Năm","T.Sáu","T.Bảy")</f>
        <v>T.Năm</v>
      </c>
      <c r="G6" s="160" t="str">
        <f t="shared" ref="G6:AJ6" si="1">CHOOSE(WEEKDAY(G5),"C.Nhật","T.Hai","T.Ba","T.Tư","T.Năm","T.Sáu","T.Bảy")</f>
        <v>T.Sáu</v>
      </c>
      <c r="H6" s="160" t="str">
        <f t="shared" si="1"/>
        <v>T.Bảy</v>
      </c>
      <c r="I6" s="160" t="str">
        <f t="shared" si="1"/>
        <v>C.Nhật</v>
      </c>
      <c r="J6" s="160" t="str">
        <f t="shared" si="1"/>
        <v>T.Hai</v>
      </c>
      <c r="K6" s="160" t="str">
        <f t="shared" si="1"/>
        <v>T.Ba</v>
      </c>
      <c r="L6" s="160" t="str">
        <f t="shared" si="1"/>
        <v>T.Tư</v>
      </c>
      <c r="M6" s="160" t="str">
        <f t="shared" si="1"/>
        <v>T.Năm</v>
      </c>
      <c r="N6" s="160" t="str">
        <f t="shared" si="1"/>
        <v>T.Sáu</v>
      </c>
      <c r="O6" s="160" t="str">
        <f t="shared" si="1"/>
        <v>T.Bảy</v>
      </c>
      <c r="P6" s="160" t="str">
        <f t="shared" si="1"/>
        <v>C.Nhật</v>
      </c>
      <c r="Q6" s="160" t="str">
        <f t="shared" si="1"/>
        <v>T.Hai</v>
      </c>
      <c r="R6" s="160" t="str">
        <f t="shared" si="1"/>
        <v>T.Ba</v>
      </c>
      <c r="S6" s="160" t="str">
        <f t="shared" si="1"/>
        <v>T.Tư</v>
      </c>
      <c r="T6" s="160" t="str">
        <f t="shared" si="1"/>
        <v>T.Năm</v>
      </c>
      <c r="U6" s="160" t="str">
        <f t="shared" si="1"/>
        <v>T.Sáu</v>
      </c>
      <c r="V6" s="160" t="str">
        <f t="shared" si="1"/>
        <v>T.Bảy</v>
      </c>
      <c r="W6" s="160" t="str">
        <f t="shared" si="1"/>
        <v>C.Nhật</v>
      </c>
      <c r="X6" s="160" t="str">
        <f t="shared" si="1"/>
        <v>T.Hai</v>
      </c>
      <c r="Y6" s="160" t="str">
        <f t="shared" si="1"/>
        <v>T.Ba</v>
      </c>
      <c r="Z6" s="160" t="str">
        <f t="shared" si="1"/>
        <v>T.Tư</v>
      </c>
      <c r="AA6" s="160" t="str">
        <f t="shared" si="1"/>
        <v>T.Năm</v>
      </c>
      <c r="AB6" s="160" t="str">
        <f t="shared" si="1"/>
        <v>T.Sáu</v>
      </c>
      <c r="AC6" s="160" t="str">
        <f t="shared" si="1"/>
        <v>T.Bảy</v>
      </c>
      <c r="AD6" s="160" t="str">
        <f t="shared" si="1"/>
        <v>C.Nhật</v>
      </c>
      <c r="AE6" s="160" t="str">
        <f t="shared" si="1"/>
        <v>T.Hai</v>
      </c>
      <c r="AF6" s="160" t="str">
        <f t="shared" si="1"/>
        <v>T.Ba</v>
      </c>
      <c r="AG6" s="160" t="str">
        <f t="shared" si="1"/>
        <v>T.Tư</v>
      </c>
      <c r="AH6" s="160" t="str">
        <f t="shared" si="1"/>
        <v>T.Năm</v>
      </c>
      <c r="AI6" s="160" t="str">
        <f t="shared" si="1"/>
        <v>T.Sáu</v>
      </c>
      <c r="AJ6" s="160" t="str">
        <f t="shared" si="1"/>
        <v>T.Bảy</v>
      </c>
      <c r="AK6" s="161" t="s">
        <v>16</v>
      </c>
      <c r="AL6" s="161" t="s">
        <v>29</v>
      </c>
      <c r="AM6" s="162" t="s">
        <v>17</v>
      </c>
      <c r="AN6" s="266"/>
      <c r="AO6" s="266"/>
      <c r="AP6" s="266"/>
      <c r="AQ6" s="266"/>
      <c r="AR6" s="266"/>
      <c r="AS6" s="257"/>
      <c r="AT6" s="25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4" customFormat="1" ht="12.75" customHeight="1">
      <c r="A7" s="163">
        <v>1</v>
      </c>
      <c r="B7" s="163">
        <v>1</v>
      </c>
      <c r="C7" s="163">
        <v>2</v>
      </c>
      <c r="D7" s="163">
        <v>3</v>
      </c>
      <c r="E7" s="163">
        <v>4</v>
      </c>
      <c r="F7" s="163">
        <v>5</v>
      </c>
      <c r="G7" s="163">
        <v>6</v>
      </c>
      <c r="H7" s="163">
        <v>7</v>
      </c>
      <c r="I7" s="163">
        <v>8</v>
      </c>
      <c r="J7" s="163">
        <v>9</v>
      </c>
      <c r="K7" s="163">
        <v>10</v>
      </c>
      <c r="L7" s="163">
        <v>11</v>
      </c>
      <c r="M7" s="163">
        <v>12</v>
      </c>
      <c r="N7" s="163">
        <v>13</v>
      </c>
      <c r="O7" s="163">
        <v>14</v>
      </c>
      <c r="P7" s="163">
        <v>15</v>
      </c>
      <c r="Q7" s="163">
        <v>16</v>
      </c>
      <c r="R7" s="163">
        <v>17</v>
      </c>
      <c r="S7" s="163">
        <v>18</v>
      </c>
      <c r="T7" s="163">
        <v>19</v>
      </c>
      <c r="U7" s="163">
        <v>20</v>
      </c>
      <c r="V7" s="163">
        <v>21</v>
      </c>
      <c r="W7" s="163">
        <v>22</v>
      </c>
      <c r="X7" s="163">
        <v>23</v>
      </c>
      <c r="Y7" s="163">
        <v>24</v>
      </c>
      <c r="Z7" s="163">
        <v>25</v>
      </c>
      <c r="AA7" s="163">
        <v>26</v>
      </c>
      <c r="AB7" s="163">
        <v>27</v>
      </c>
      <c r="AC7" s="163">
        <v>28</v>
      </c>
      <c r="AD7" s="163">
        <v>29</v>
      </c>
      <c r="AE7" s="163">
        <v>30</v>
      </c>
      <c r="AF7" s="163">
        <v>31</v>
      </c>
      <c r="AG7" s="163">
        <v>32</v>
      </c>
      <c r="AH7" s="163">
        <v>33</v>
      </c>
      <c r="AI7" s="163">
        <v>34</v>
      </c>
      <c r="AJ7" s="163">
        <v>35</v>
      </c>
      <c r="AK7" s="163">
        <v>36</v>
      </c>
      <c r="AL7" s="163">
        <v>37</v>
      </c>
      <c r="AM7" s="163">
        <v>38</v>
      </c>
      <c r="AN7" s="163">
        <v>39</v>
      </c>
      <c r="AO7" s="163">
        <v>40</v>
      </c>
      <c r="AP7" s="163">
        <v>41</v>
      </c>
      <c r="AQ7" s="163">
        <v>42</v>
      </c>
      <c r="AR7" s="163">
        <v>43</v>
      </c>
      <c r="AS7" s="163">
        <v>44</v>
      </c>
      <c r="AT7" s="1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6" customFormat="1" ht="21" customHeight="1">
      <c r="A8" s="164" t="s">
        <v>68</v>
      </c>
      <c r="B8" s="167" t="s">
        <v>80</v>
      </c>
      <c r="C8" s="168"/>
      <c r="D8" s="168"/>
      <c r="E8" s="168"/>
      <c r="F8" s="168"/>
      <c r="G8" s="168"/>
      <c r="H8" s="168"/>
      <c r="I8" s="168"/>
      <c r="J8" s="168"/>
      <c r="K8" s="168"/>
      <c r="L8" s="168"/>
      <c r="M8" s="168"/>
      <c r="N8" s="168"/>
      <c r="O8" s="168"/>
      <c r="P8" s="168"/>
      <c r="Q8" s="168"/>
      <c r="R8" s="168"/>
      <c r="S8" s="168"/>
      <c r="T8" s="168"/>
      <c r="U8" s="168"/>
      <c r="V8" s="168"/>
      <c r="W8" s="168"/>
      <c r="X8" s="168"/>
      <c r="Y8" s="168"/>
      <c r="Z8" s="168"/>
      <c r="AA8" s="168"/>
      <c r="AB8" s="168"/>
      <c r="AC8" s="168"/>
      <c r="AD8" s="168"/>
      <c r="AE8" s="168"/>
      <c r="AF8" s="168"/>
      <c r="AG8" s="168"/>
      <c r="AH8" s="168"/>
      <c r="AI8" s="168"/>
      <c r="AJ8" s="168"/>
      <c r="AK8" s="168"/>
      <c r="AL8" s="168"/>
      <c r="AM8" s="168"/>
      <c r="AN8" s="168"/>
      <c r="AO8" s="168"/>
      <c r="AP8" s="168"/>
      <c r="AQ8" s="168"/>
      <c r="AR8" s="168"/>
      <c r="AS8" s="169"/>
      <c r="AT8" s="165"/>
    </row>
    <row r="9" spans="1:91" s="54" customFormat="1" ht="18" customHeight="1">
      <c r="A9" s="249">
        <v>1</v>
      </c>
      <c r="B9" s="249" t="s">
        <v>74</v>
      </c>
      <c r="C9" s="251" t="str">
        <f>VLOOKUP(B9,DS,2,0)</f>
        <v>Nguyễn Thị Kim Quyên</v>
      </c>
      <c r="D9" s="253" t="str">
        <f>VLOOKUP(B9,DS,3,0)</f>
        <v>Văn Phòng</v>
      </c>
      <c r="E9" s="55" t="s">
        <v>30</v>
      </c>
      <c r="F9" s="130">
        <v>8</v>
      </c>
      <c r="G9" s="130">
        <v>8</v>
      </c>
      <c r="H9" s="130">
        <v>8</v>
      </c>
      <c r="I9" s="130"/>
      <c r="J9" s="130">
        <v>8</v>
      </c>
      <c r="K9" s="130">
        <v>8</v>
      </c>
      <c r="L9" s="130">
        <v>8</v>
      </c>
      <c r="M9" s="130">
        <v>8</v>
      </c>
      <c r="N9" s="130">
        <v>8</v>
      </c>
      <c r="O9" s="130">
        <v>8</v>
      </c>
      <c r="P9" s="130"/>
      <c r="Q9" s="130">
        <v>8</v>
      </c>
      <c r="R9" s="130">
        <v>8</v>
      </c>
      <c r="S9" s="130">
        <v>8</v>
      </c>
      <c r="T9" s="130">
        <v>8</v>
      </c>
      <c r="U9" s="130">
        <v>8</v>
      </c>
      <c r="V9" s="130">
        <v>8</v>
      </c>
      <c r="W9" s="130"/>
      <c r="X9" s="130">
        <v>8</v>
      </c>
      <c r="Y9" s="130">
        <v>8</v>
      </c>
      <c r="Z9" s="130">
        <v>8</v>
      </c>
      <c r="AA9" s="130">
        <v>8</v>
      </c>
      <c r="AB9" s="130">
        <v>8</v>
      </c>
      <c r="AC9" s="130">
        <v>8</v>
      </c>
      <c r="AD9" s="130"/>
      <c r="AE9" s="130">
        <v>8</v>
      </c>
      <c r="AF9" s="130">
        <v>8</v>
      </c>
      <c r="AG9" s="130">
        <v>8</v>
      </c>
      <c r="AH9" s="130">
        <v>8</v>
      </c>
      <c r="AI9" s="130">
        <v>8</v>
      </c>
      <c r="AJ9" s="130"/>
      <c r="AK9" s="245">
        <f>((SUM(F9:AJ9))/8)-(SUMIF($F$6:$AJ$6,"C.Nhật",F9:AJ9)/8)</f>
        <v>26</v>
      </c>
      <c r="AL9" s="245">
        <f>SUM(F10:AJ10)/8*1.5</f>
        <v>0</v>
      </c>
      <c r="AM9" s="247">
        <f>SUMIF($F$6:$AJ$6,"C.Nhật",$F9:$AJ10)/8*2</f>
        <v>0</v>
      </c>
      <c r="AN9" s="241">
        <f>SUM(AK9:AM10)</f>
        <v>26</v>
      </c>
      <c r="AO9" s="243">
        <v>0</v>
      </c>
      <c r="AP9" s="241"/>
      <c r="AQ9" s="241"/>
      <c r="AR9" s="241"/>
      <c r="AS9" s="239"/>
      <c r="AT9" s="1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4" customFormat="1" ht="18" customHeight="1">
      <c r="A10" s="250"/>
      <c r="B10" s="250"/>
      <c r="C10" s="252"/>
      <c r="D10" s="254"/>
      <c r="E10" s="56" t="s">
        <v>29</v>
      </c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131"/>
      <c r="AK10" s="246"/>
      <c r="AL10" s="246"/>
      <c r="AM10" s="248"/>
      <c r="AN10" s="242"/>
      <c r="AO10" s="244"/>
      <c r="AP10" s="242"/>
      <c r="AQ10" s="242"/>
      <c r="AR10" s="242"/>
      <c r="AS10" s="240"/>
      <c r="AT10" s="1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66" customFormat="1" ht="21" customHeight="1">
      <c r="A11" s="164" t="s">
        <v>69</v>
      </c>
      <c r="B11" s="167" t="s">
        <v>73</v>
      </c>
      <c r="C11" s="168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  <c r="P11" s="168"/>
      <c r="Q11" s="168"/>
      <c r="R11" s="168"/>
      <c r="S11" s="168"/>
      <c r="T11" s="168"/>
      <c r="U11" s="168"/>
      <c r="V11" s="168"/>
      <c r="W11" s="168"/>
      <c r="X11" s="168"/>
      <c r="Y11" s="168"/>
      <c r="Z11" s="168"/>
      <c r="AA11" s="168"/>
      <c r="AB11" s="168"/>
      <c r="AC11" s="168"/>
      <c r="AD11" s="168"/>
      <c r="AE11" s="168"/>
      <c r="AF11" s="168"/>
      <c r="AG11" s="168"/>
      <c r="AH11" s="168"/>
      <c r="AI11" s="168"/>
      <c r="AJ11" s="168"/>
      <c r="AK11" s="168"/>
      <c r="AL11" s="168"/>
      <c r="AM11" s="168"/>
      <c r="AN11" s="168"/>
      <c r="AO11" s="168"/>
      <c r="AP11" s="168"/>
      <c r="AQ11" s="168"/>
      <c r="AR11" s="168"/>
      <c r="AS11" s="169"/>
      <c r="AT11" s="165"/>
    </row>
    <row r="12" spans="1:91" s="54" customFormat="1" ht="18" customHeight="1">
      <c r="A12" s="249">
        <v>1</v>
      </c>
      <c r="B12" s="249" t="s">
        <v>75</v>
      </c>
      <c r="C12" s="251" t="str">
        <f>VLOOKUP(B12,DS,2,0)</f>
        <v>Lê Văn Hữu</v>
      </c>
      <c r="D12" s="253" t="str">
        <f>VLOOKUP(B12,DS,3,0)</f>
        <v>Công Đoạn 1</v>
      </c>
      <c r="E12" s="55" t="s">
        <v>30</v>
      </c>
      <c r="F12" s="130">
        <v>8</v>
      </c>
      <c r="G12" s="130">
        <v>8</v>
      </c>
      <c r="H12" s="130">
        <v>8</v>
      </c>
      <c r="I12" s="130"/>
      <c r="J12" s="130">
        <v>8</v>
      </c>
      <c r="K12" s="130">
        <v>8</v>
      </c>
      <c r="L12" s="130">
        <v>8</v>
      </c>
      <c r="M12" s="130">
        <v>8</v>
      </c>
      <c r="N12" s="130">
        <v>8</v>
      </c>
      <c r="O12" s="130">
        <v>8</v>
      </c>
      <c r="P12" s="130"/>
      <c r="Q12" s="130">
        <v>8</v>
      </c>
      <c r="R12" s="130">
        <v>8</v>
      </c>
      <c r="S12" s="130">
        <v>8</v>
      </c>
      <c r="T12" s="130">
        <v>8</v>
      </c>
      <c r="U12" s="130">
        <v>8</v>
      </c>
      <c r="V12" s="130">
        <v>8</v>
      </c>
      <c r="W12" s="130"/>
      <c r="X12" s="130">
        <v>8</v>
      </c>
      <c r="Y12" s="130">
        <v>8</v>
      </c>
      <c r="Z12" s="130">
        <v>8</v>
      </c>
      <c r="AA12" s="130">
        <v>8</v>
      </c>
      <c r="AB12" s="130">
        <v>8</v>
      </c>
      <c r="AC12" s="130">
        <v>8</v>
      </c>
      <c r="AD12" s="130"/>
      <c r="AE12" s="130">
        <v>8</v>
      </c>
      <c r="AF12" s="130">
        <v>8</v>
      </c>
      <c r="AG12" s="130">
        <v>8</v>
      </c>
      <c r="AH12" s="130">
        <v>8</v>
      </c>
      <c r="AI12" s="130">
        <v>8</v>
      </c>
      <c r="AJ12" s="130"/>
      <c r="AK12" s="245">
        <f t="shared" ref="AK12" si="2">((SUM(F12:AJ12))/8)-(SUMIF($F$6:$AJ$6,"C.Nhật",F12:AJ12)/8)</f>
        <v>26</v>
      </c>
      <c r="AL12" s="245">
        <f t="shared" ref="AL12" si="3">SUM(F13:AJ13)/8*1.5</f>
        <v>0</v>
      </c>
      <c r="AM12" s="247">
        <f>SUMIF($F$6:$AJ$6,"C.Nhật",$F12:$AJ13)/8*2</f>
        <v>0</v>
      </c>
      <c r="AN12" s="241">
        <f>SUM(AK12:AM13)</f>
        <v>26</v>
      </c>
      <c r="AO12" s="243">
        <v>0</v>
      </c>
      <c r="AP12" s="241"/>
      <c r="AQ12" s="241"/>
      <c r="AR12" s="241"/>
      <c r="AS12" s="239"/>
      <c r="AT12" s="205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54" customFormat="1" ht="18" customHeight="1">
      <c r="A13" s="250"/>
      <c r="B13" s="250"/>
      <c r="C13" s="252"/>
      <c r="D13" s="254"/>
      <c r="E13" s="56" t="s">
        <v>29</v>
      </c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  <c r="AH13" s="131"/>
      <c r="AI13" s="131"/>
      <c r="AJ13" s="131"/>
      <c r="AK13" s="246"/>
      <c r="AL13" s="246"/>
      <c r="AM13" s="248"/>
      <c r="AN13" s="242"/>
      <c r="AO13" s="244"/>
      <c r="AP13" s="242"/>
      <c r="AQ13" s="242"/>
      <c r="AR13" s="242"/>
      <c r="AS13" s="240"/>
      <c r="AT13" s="205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54" customFormat="1" ht="18" customHeight="1">
      <c r="A14" s="249">
        <v>2</v>
      </c>
      <c r="B14" s="249" t="s">
        <v>76</v>
      </c>
      <c r="C14" s="251" t="str">
        <f>VLOOKUP(B14,DS,2,0)</f>
        <v>Lý Thanh Hải</v>
      </c>
      <c r="D14" s="253" t="str">
        <f>VLOOKUP(B14,DS,3,0)</f>
        <v>Công Đoạn 1</v>
      </c>
      <c r="E14" s="55" t="s">
        <v>30</v>
      </c>
      <c r="F14" s="130">
        <v>8</v>
      </c>
      <c r="G14" s="130">
        <v>8</v>
      </c>
      <c r="H14" s="130">
        <v>8</v>
      </c>
      <c r="I14" s="130"/>
      <c r="J14" s="130">
        <v>8</v>
      </c>
      <c r="K14" s="130">
        <v>8</v>
      </c>
      <c r="L14" s="130">
        <v>8</v>
      </c>
      <c r="M14" s="130">
        <v>8</v>
      </c>
      <c r="N14" s="130">
        <v>8</v>
      </c>
      <c r="O14" s="130">
        <v>8</v>
      </c>
      <c r="P14" s="130"/>
      <c r="Q14" s="130">
        <v>8</v>
      </c>
      <c r="R14" s="130">
        <v>8</v>
      </c>
      <c r="S14" s="130">
        <v>8</v>
      </c>
      <c r="T14" s="130">
        <v>8</v>
      </c>
      <c r="U14" s="130">
        <v>8</v>
      </c>
      <c r="V14" s="130">
        <v>8</v>
      </c>
      <c r="W14" s="130"/>
      <c r="X14" s="130">
        <v>8</v>
      </c>
      <c r="Y14" s="130">
        <v>8</v>
      </c>
      <c r="Z14" s="130">
        <v>8</v>
      </c>
      <c r="AA14" s="130">
        <v>8</v>
      </c>
      <c r="AB14" s="130">
        <v>8</v>
      </c>
      <c r="AC14" s="130">
        <v>8</v>
      </c>
      <c r="AD14" s="130"/>
      <c r="AE14" s="130">
        <v>8</v>
      </c>
      <c r="AF14" s="130">
        <v>8</v>
      </c>
      <c r="AG14" s="130">
        <v>8</v>
      </c>
      <c r="AH14" s="130">
        <v>8</v>
      </c>
      <c r="AI14" s="130">
        <v>8</v>
      </c>
      <c r="AJ14" s="130"/>
      <c r="AK14" s="245">
        <f t="shared" ref="AK14" si="4">((SUM(F14:AJ14))/8)-(SUMIF($F$6:$AJ$6,"C.Nhật",F14:AJ14)/8)</f>
        <v>26</v>
      </c>
      <c r="AL14" s="245">
        <f t="shared" ref="AL14" si="5">SUM(F15:AJ15)/8*1.5</f>
        <v>0</v>
      </c>
      <c r="AM14" s="247">
        <f>SUMIF($F$6:$AJ$6,"C.Nhật",$F14:$AJ15)/8*2</f>
        <v>0</v>
      </c>
      <c r="AN14" s="241">
        <f t="shared" ref="AN14" si="6">SUM(AK14:AM15)</f>
        <v>26</v>
      </c>
      <c r="AO14" s="243">
        <v>0</v>
      </c>
      <c r="AP14" s="241"/>
      <c r="AQ14" s="241"/>
      <c r="AR14" s="241"/>
      <c r="AS14" s="239"/>
      <c r="AT14" s="21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4" customFormat="1" ht="18" customHeight="1">
      <c r="A15" s="250"/>
      <c r="B15" s="250"/>
      <c r="C15" s="252"/>
      <c r="D15" s="254"/>
      <c r="E15" s="56" t="s">
        <v>29</v>
      </c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31"/>
      <c r="AK15" s="246"/>
      <c r="AL15" s="246"/>
      <c r="AM15" s="248"/>
      <c r="AN15" s="242"/>
      <c r="AO15" s="244"/>
      <c r="AP15" s="242"/>
      <c r="AQ15" s="242"/>
      <c r="AR15" s="242"/>
      <c r="AS15" s="240"/>
      <c r="AT15" s="21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4" customFormat="1" ht="18" customHeight="1">
      <c r="A16" s="249">
        <v>3</v>
      </c>
      <c r="B16" s="249" t="s">
        <v>77</v>
      </c>
      <c r="C16" s="251" t="str">
        <f>VLOOKUP(B16,DS,2,0)</f>
        <v>Cao Minh Chí</v>
      </c>
      <c r="D16" s="253" t="str">
        <f>VLOOKUP(B16,DS,3,0)</f>
        <v>Công Đoạn 2</v>
      </c>
      <c r="E16" s="55" t="s">
        <v>30</v>
      </c>
      <c r="F16" s="130">
        <v>8</v>
      </c>
      <c r="G16" s="130">
        <v>8</v>
      </c>
      <c r="H16" s="130">
        <v>8</v>
      </c>
      <c r="I16" s="130"/>
      <c r="J16" s="130">
        <v>8</v>
      </c>
      <c r="K16" s="130">
        <v>8</v>
      </c>
      <c r="L16" s="130">
        <v>8</v>
      </c>
      <c r="M16" s="130">
        <v>8</v>
      </c>
      <c r="N16" s="130">
        <v>8</v>
      </c>
      <c r="O16" s="130">
        <v>8</v>
      </c>
      <c r="P16" s="130"/>
      <c r="Q16" s="130">
        <v>8</v>
      </c>
      <c r="R16" s="130">
        <v>8</v>
      </c>
      <c r="S16" s="130">
        <v>8</v>
      </c>
      <c r="T16" s="130">
        <v>8</v>
      </c>
      <c r="U16" s="130">
        <v>8</v>
      </c>
      <c r="V16" s="130">
        <v>8</v>
      </c>
      <c r="W16" s="130"/>
      <c r="X16" s="130">
        <v>8</v>
      </c>
      <c r="Y16" s="130">
        <v>8</v>
      </c>
      <c r="Z16" s="130">
        <v>8</v>
      </c>
      <c r="AA16" s="130">
        <v>8</v>
      </c>
      <c r="AB16" s="130">
        <v>8</v>
      </c>
      <c r="AC16" s="130">
        <v>8</v>
      </c>
      <c r="AD16" s="130"/>
      <c r="AE16" s="130">
        <v>8</v>
      </c>
      <c r="AF16" s="130">
        <v>8</v>
      </c>
      <c r="AG16" s="130">
        <v>8</v>
      </c>
      <c r="AH16" s="130">
        <v>8</v>
      </c>
      <c r="AI16" s="130">
        <v>8</v>
      </c>
      <c r="AJ16" s="130"/>
      <c r="AK16" s="245">
        <f t="shared" ref="AK16" si="7">((SUM(F16:AJ16))/8)-(SUMIF($F$6:$AJ$6,"C.Nhật",F16:AJ16)/8)</f>
        <v>26</v>
      </c>
      <c r="AL16" s="245">
        <f t="shared" ref="AL16" si="8">SUM(F17:AJ17)/8*1.5</f>
        <v>0</v>
      </c>
      <c r="AM16" s="247">
        <f>SUMIF($F$6:$AJ$6,"C.Nhật",$F16:$AJ17)/8*2</f>
        <v>0</v>
      </c>
      <c r="AN16" s="241">
        <f t="shared" ref="AN16" si="9">SUM(AK16:AM17)</f>
        <v>26</v>
      </c>
      <c r="AO16" s="243">
        <v>0</v>
      </c>
      <c r="AP16" s="241"/>
      <c r="AQ16" s="241"/>
      <c r="AR16" s="241"/>
      <c r="AS16" s="239"/>
      <c r="AT16" s="21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4" customFormat="1" ht="18" customHeight="1">
      <c r="A17" s="250"/>
      <c r="B17" s="250"/>
      <c r="C17" s="252"/>
      <c r="D17" s="254"/>
      <c r="E17" s="56" t="s">
        <v>29</v>
      </c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31"/>
      <c r="AK17" s="246"/>
      <c r="AL17" s="246"/>
      <c r="AM17" s="248"/>
      <c r="AN17" s="242"/>
      <c r="AO17" s="244"/>
      <c r="AP17" s="242"/>
      <c r="AQ17" s="242"/>
      <c r="AR17" s="242"/>
      <c r="AS17" s="240"/>
      <c r="AT17" s="21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7" customFormat="1" ht="12.75">
      <c r="A18" s="14"/>
      <c r="B18" s="58"/>
      <c r="C18" s="4"/>
      <c r="D18" s="100"/>
      <c r="E18" s="4"/>
      <c r="F18" s="62"/>
      <c r="G18" s="62"/>
      <c r="H18" s="59"/>
      <c r="I18" s="59"/>
      <c r="J18" s="107"/>
      <c r="K18" s="62"/>
      <c r="L18" s="59"/>
      <c r="M18" s="62"/>
      <c r="N18" s="62"/>
      <c r="O18" s="62"/>
      <c r="P18" s="62"/>
      <c r="Q18" s="59"/>
      <c r="R18" s="62"/>
      <c r="S18" s="62"/>
      <c r="T18" s="107"/>
      <c r="U18" s="62"/>
      <c r="V18" s="62"/>
      <c r="W18" s="62"/>
      <c r="X18" s="58"/>
      <c r="Y18" s="62"/>
      <c r="Z18" s="62"/>
      <c r="AA18" s="62"/>
      <c r="AB18" s="62"/>
      <c r="AC18" s="62"/>
      <c r="AD18" s="59"/>
      <c r="AE18" s="62"/>
      <c r="AF18" s="62"/>
      <c r="AG18" s="62"/>
      <c r="AH18" s="62"/>
      <c r="AI18" s="62"/>
      <c r="AJ18" s="62"/>
      <c r="AK18" s="4"/>
      <c r="AL18" s="4"/>
      <c r="AM18" s="85"/>
      <c r="AN18" s="61"/>
      <c r="AO18" s="61"/>
      <c r="AP18" s="61"/>
      <c r="AQ18" s="61"/>
      <c r="AR18" s="61"/>
      <c r="AS18" s="4"/>
      <c r="AT18" s="91"/>
    </row>
    <row r="19" spans="1:90" s="57" customFormat="1" ht="12.75">
      <c r="A19" s="14"/>
      <c r="B19" s="58"/>
      <c r="C19" s="14" t="s">
        <v>14</v>
      </c>
      <c r="D19" s="100"/>
      <c r="E19" s="4"/>
      <c r="F19" s="62"/>
      <c r="G19" s="62"/>
      <c r="H19" s="59"/>
      <c r="I19" s="59"/>
      <c r="J19" s="107"/>
      <c r="K19" s="62"/>
      <c r="L19" s="59"/>
      <c r="M19" s="62"/>
      <c r="N19" s="62"/>
      <c r="O19" s="62"/>
      <c r="P19" s="62"/>
      <c r="Q19" s="59"/>
      <c r="R19" s="62"/>
      <c r="S19" s="62"/>
      <c r="T19" s="107"/>
      <c r="U19" s="62"/>
      <c r="V19" s="62"/>
      <c r="W19" s="62"/>
      <c r="X19" s="58"/>
      <c r="Y19" s="62"/>
      <c r="Z19" s="62"/>
      <c r="AA19" s="62"/>
      <c r="AB19" s="62"/>
      <c r="AC19" s="62"/>
      <c r="AD19" s="59"/>
      <c r="AE19" s="62"/>
      <c r="AF19" s="62"/>
      <c r="AG19" s="62"/>
      <c r="AH19" s="62"/>
      <c r="AI19" s="62"/>
      <c r="AJ19" s="62"/>
      <c r="AK19" s="4"/>
      <c r="AL19" s="4"/>
      <c r="AM19" s="85"/>
      <c r="AN19" s="61"/>
      <c r="AO19" s="61"/>
      <c r="AP19" s="61"/>
      <c r="AQ19" s="61"/>
      <c r="AR19" s="61"/>
      <c r="AS19" s="4"/>
      <c r="AT19" s="91"/>
    </row>
    <row r="20" spans="1:90" s="57" customFormat="1" ht="12.75">
      <c r="A20" s="12"/>
      <c r="B20" s="12"/>
      <c r="C20" s="4"/>
      <c r="D20" s="100"/>
      <c r="E20" s="4"/>
      <c r="F20" s="62"/>
      <c r="G20" s="62"/>
      <c r="H20" s="108"/>
      <c r="I20" s="108"/>
      <c r="J20" s="108"/>
      <c r="K20" s="62"/>
      <c r="L20" s="108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108"/>
      <c r="AE20" s="62"/>
      <c r="AF20" s="62"/>
      <c r="AG20" s="62"/>
      <c r="AH20" s="62"/>
      <c r="AI20" s="62"/>
      <c r="AJ20" s="62"/>
      <c r="AK20" s="4"/>
      <c r="AL20" s="4"/>
      <c r="AM20" s="85"/>
      <c r="AN20" s="63"/>
      <c r="AO20" s="63"/>
      <c r="AP20" s="63"/>
      <c r="AQ20" s="63"/>
      <c r="AR20" s="63"/>
      <c r="AS20" s="4"/>
      <c r="AT20" s="91"/>
    </row>
    <row r="21" spans="1:90" s="60" customFormat="1" ht="15" customHeight="1">
      <c r="A21" s="12"/>
      <c r="B21" s="12"/>
      <c r="C21" s="4"/>
      <c r="D21" s="100"/>
      <c r="E21" s="4"/>
      <c r="F21" s="62"/>
      <c r="G21" s="62"/>
      <c r="H21" s="108"/>
      <c r="I21" s="108"/>
      <c r="J21" s="108"/>
      <c r="K21" s="62"/>
      <c r="L21" s="108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108"/>
      <c r="AE21" s="62"/>
      <c r="AF21" s="62"/>
      <c r="AG21" s="62"/>
      <c r="AH21" s="62"/>
      <c r="AI21" s="62"/>
      <c r="AJ21" s="62"/>
      <c r="AK21" s="4"/>
      <c r="AL21" s="4"/>
      <c r="AM21" s="85"/>
      <c r="AN21" s="63"/>
      <c r="AO21" s="63"/>
      <c r="AP21" s="63"/>
      <c r="AQ21" s="63"/>
      <c r="AR21" s="63"/>
      <c r="AS21" s="4"/>
      <c r="AT21" s="4"/>
    </row>
    <row r="22" spans="1:90" s="60" customFormat="1" ht="11.25">
      <c r="A22" s="12"/>
      <c r="B22" s="12"/>
      <c r="C22" s="4"/>
      <c r="D22" s="100"/>
      <c r="E22" s="4"/>
      <c r="F22" s="62"/>
      <c r="G22" s="62"/>
      <c r="H22" s="108"/>
      <c r="I22" s="108"/>
      <c r="J22" s="108"/>
      <c r="K22" s="62"/>
      <c r="L22" s="108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108"/>
      <c r="AE22" s="62"/>
      <c r="AF22" s="62"/>
      <c r="AG22" s="62"/>
      <c r="AH22" s="62"/>
      <c r="AI22" s="62"/>
      <c r="AJ22" s="62"/>
      <c r="AK22" s="4"/>
      <c r="AL22" s="4"/>
      <c r="AM22" s="85"/>
      <c r="AN22" s="63"/>
      <c r="AO22" s="63"/>
      <c r="AP22" s="63"/>
      <c r="AQ22" s="63"/>
      <c r="AR22" s="63"/>
      <c r="AS22" s="4"/>
      <c r="AT22" s="4"/>
    </row>
    <row r="23" spans="1:90" s="60" customFormat="1" ht="11.25">
      <c r="A23" s="12"/>
      <c r="B23" s="12"/>
      <c r="C23" s="4"/>
      <c r="D23" s="100"/>
      <c r="E23" s="4"/>
      <c r="F23" s="62"/>
      <c r="G23" s="62"/>
      <c r="H23" s="108"/>
      <c r="I23" s="108"/>
      <c r="J23" s="108"/>
      <c r="K23" s="62"/>
      <c r="L23" s="108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108"/>
      <c r="AE23" s="62"/>
      <c r="AF23" s="62"/>
      <c r="AG23" s="62"/>
      <c r="AH23" s="62"/>
      <c r="AI23" s="62"/>
      <c r="AJ23" s="62"/>
      <c r="AK23" s="4"/>
      <c r="AL23" s="4"/>
      <c r="AM23" s="85"/>
      <c r="AN23" s="63"/>
      <c r="AO23" s="63"/>
      <c r="AP23" s="63"/>
      <c r="AQ23" s="63"/>
      <c r="AR23" s="63"/>
      <c r="AS23" s="4"/>
      <c r="AT23" s="4"/>
    </row>
    <row r="24" spans="1:90" s="60" customFormat="1" ht="11.25">
      <c r="A24" s="10"/>
      <c r="B24" s="10"/>
      <c r="C24" s="14"/>
      <c r="D24" s="101"/>
      <c r="E24" s="64"/>
      <c r="F24" s="107"/>
      <c r="G24" s="109"/>
      <c r="H24" s="59"/>
      <c r="I24" s="59"/>
      <c r="J24" s="59"/>
      <c r="K24" s="109"/>
      <c r="L24" s="59"/>
      <c r="M24" s="109"/>
      <c r="N24" s="109"/>
      <c r="O24" s="109"/>
      <c r="P24" s="109"/>
      <c r="Q24" s="59"/>
      <c r="R24" s="107"/>
      <c r="S24" s="109"/>
      <c r="T24" s="109"/>
      <c r="U24" s="59"/>
      <c r="V24" s="109"/>
      <c r="W24" s="109"/>
      <c r="X24" s="59"/>
      <c r="Y24" s="109"/>
      <c r="Z24" s="109"/>
      <c r="AA24" s="109"/>
      <c r="AB24" s="109"/>
      <c r="AC24" s="109"/>
      <c r="AD24" s="59"/>
      <c r="AE24" s="109"/>
      <c r="AF24" s="109"/>
      <c r="AG24" s="109"/>
      <c r="AH24" s="109"/>
      <c r="AI24" s="109"/>
      <c r="AJ24" s="109"/>
      <c r="AK24" s="64"/>
      <c r="AM24" s="86"/>
      <c r="AN24" s="10"/>
      <c r="AO24" s="10"/>
      <c r="AP24" s="10"/>
      <c r="AQ24" s="10"/>
      <c r="AR24" s="10"/>
      <c r="AS24" s="14"/>
      <c r="AT24" s="4"/>
    </row>
    <row r="25" spans="1:90" s="60" customFormat="1" ht="12.75">
      <c r="A25" s="2"/>
      <c r="B25" s="2" t="s">
        <v>0</v>
      </c>
      <c r="C25" s="2"/>
      <c r="D25" s="177"/>
      <c r="E25" s="2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1"/>
      <c r="AI25" s="111"/>
      <c r="AJ25" s="111"/>
      <c r="AK25" s="2"/>
      <c r="AL25" s="2"/>
      <c r="AM25" s="87"/>
      <c r="AN25" s="2"/>
      <c r="AO25" s="2"/>
      <c r="AP25" s="2"/>
      <c r="AQ25" s="2"/>
      <c r="AR25" s="2"/>
      <c r="AS25" s="2"/>
      <c r="AT25" s="4"/>
    </row>
    <row r="26" spans="1:90" s="60" customFormat="1" ht="12.75">
      <c r="A26" s="2"/>
      <c r="B26" s="2"/>
      <c r="C26" s="2" t="s">
        <v>40</v>
      </c>
      <c r="D26" s="177"/>
      <c r="E26" s="2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1"/>
      <c r="AI26" s="111"/>
      <c r="AJ26" s="111"/>
      <c r="AK26" s="2"/>
      <c r="AL26" s="2"/>
      <c r="AM26" s="87"/>
      <c r="AN26" s="2"/>
      <c r="AO26" s="2"/>
      <c r="AP26" s="2"/>
      <c r="AQ26" s="2"/>
      <c r="AR26" s="2"/>
      <c r="AS26" s="2"/>
      <c r="AT26" s="14"/>
    </row>
    <row r="27" spans="1:90" ht="15" customHeight="1">
      <c r="C27" s="2" t="s">
        <v>41</v>
      </c>
    </row>
    <row r="28" spans="1:90" ht="15" customHeight="1">
      <c r="C28" s="2" t="s">
        <v>42</v>
      </c>
    </row>
    <row r="29" spans="1:90" ht="15" customHeight="1">
      <c r="C29" s="2" t="s">
        <v>43</v>
      </c>
    </row>
    <row r="30" spans="1:90" ht="15" customHeight="1">
      <c r="C30" s="2" t="s">
        <v>44</v>
      </c>
    </row>
    <row r="31" spans="1:90" ht="15" customHeight="1">
      <c r="C31" s="2" t="s">
        <v>45</v>
      </c>
    </row>
    <row r="32" spans="1:90" ht="15" customHeight="1">
      <c r="C32" s="2" t="s">
        <v>46</v>
      </c>
    </row>
    <row r="33" spans="3:3" ht="15" customHeight="1">
      <c r="C33" s="2" t="s">
        <v>47</v>
      </c>
    </row>
    <row r="34" spans="3:3" ht="15" customHeight="1">
      <c r="C34" s="2" t="s">
        <v>48</v>
      </c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20:J23 Q18:Q19" name="Range1_1_1_1"/>
    <protectedRange password="CC78" sqref="J24" name="Range1_3_1_1"/>
    <protectedRange password="CC78" sqref="A12:A17" name="Range1_1_2"/>
    <protectedRange password="CC78" sqref="A12:A17 C12:E17" name="Range1_6_2"/>
    <protectedRange password="CC78" sqref="B12:B17" name="Range1_4_2"/>
  </protectedRanges>
  <mergeCells count="66">
    <mergeCell ref="A16:A17"/>
    <mergeCell ref="B16:B17"/>
    <mergeCell ref="C16:C17"/>
    <mergeCell ref="D16:D17"/>
    <mergeCell ref="AK16:AK17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14:A15"/>
    <mergeCell ref="B14:B15"/>
    <mergeCell ref="C14:C15"/>
    <mergeCell ref="D14:D15"/>
    <mergeCell ref="AK14:AK15"/>
    <mergeCell ref="A12:A13"/>
    <mergeCell ref="B12:B13"/>
    <mergeCell ref="C12:C13"/>
    <mergeCell ref="D12:D13"/>
    <mergeCell ref="AK12:AK13"/>
    <mergeCell ref="AL16:AL17"/>
    <mergeCell ref="AM16:AM17"/>
    <mergeCell ref="AS16:AS17"/>
    <mergeCell ref="AQ12:AQ13"/>
    <mergeCell ref="AR12:AR13"/>
    <mergeCell ref="AL14:AL15"/>
    <mergeCell ref="AM14:AM15"/>
    <mergeCell ref="AR16:AR17"/>
    <mergeCell ref="AN16:AN17"/>
    <mergeCell ref="AO16:AO17"/>
    <mergeCell ref="AP16:AP17"/>
    <mergeCell ref="AQ16:AQ17"/>
    <mergeCell ref="AN14:AN15"/>
    <mergeCell ref="AL12:AL13"/>
    <mergeCell ref="AQ14:AQ15"/>
    <mergeCell ref="AR14:AR15"/>
    <mergeCell ref="AS14:AS15"/>
    <mergeCell ref="AM12:AM13"/>
    <mergeCell ref="AN12:AN13"/>
    <mergeCell ref="AO12:AO13"/>
    <mergeCell ref="AO14:AO15"/>
    <mergeCell ref="AP14:AP15"/>
    <mergeCell ref="AP12:AP13"/>
    <mergeCell ref="AS12:AS13"/>
  </mergeCells>
  <conditionalFormatting sqref="F5:AJ6 AJ16:AJ17 F9:AJ10">
    <cfRule type="expression" dxfId="59" priority="68" stopIfTrue="1">
      <formula>IF(WEEKDAY(F$5)=1,TRUE,FALSE)</formula>
    </cfRule>
  </conditionalFormatting>
  <conditionalFormatting sqref="F9:AJ10">
    <cfRule type="expression" dxfId="58" priority="67" stopIfTrue="1">
      <formula>IF(WEEKDAY(F$5)=1,TRUE,FALSE)</formula>
    </cfRule>
  </conditionalFormatting>
  <conditionalFormatting sqref="AJ12:AJ13">
    <cfRule type="expression" dxfId="57" priority="56" stopIfTrue="1">
      <formula>IF(WEEKDAY(AJ$5)=1,TRUE,FALSE)</formula>
    </cfRule>
  </conditionalFormatting>
  <conditionalFormatting sqref="AJ12:AJ13">
    <cfRule type="expression" dxfId="56" priority="55" stopIfTrue="1">
      <formula>IF(WEEKDAY(AJ$5)=1,TRUE,FALSE)</formula>
    </cfRule>
  </conditionalFormatting>
  <conditionalFormatting sqref="AJ12:AJ13">
    <cfRule type="expression" dxfId="55" priority="54" stopIfTrue="1">
      <formula>IF(WEEKDAY(AJ$5)=1,TRUE,FALSE)</formula>
    </cfRule>
  </conditionalFormatting>
  <conditionalFormatting sqref="AJ12:AJ13">
    <cfRule type="expression" dxfId="54" priority="52" stopIfTrue="1">
      <formula>IF(WEEKDAY(AJ$5)=1,TRUE,FALSE)</formula>
    </cfRule>
  </conditionalFormatting>
  <conditionalFormatting sqref="AJ12:AJ13">
    <cfRule type="expression" dxfId="53" priority="50" stopIfTrue="1">
      <formula>IF(WEEKDAY(AJ$5)=1,TRUE,FALSE)</formula>
    </cfRule>
  </conditionalFormatting>
  <conditionalFormatting sqref="AJ12:AJ13">
    <cfRule type="expression" dxfId="52" priority="49" stopIfTrue="1">
      <formula>IF(WEEKDAY(AJ$5)=1,TRUE,FALSE)</formula>
    </cfRule>
  </conditionalFormatting>
  <conditionalFormatting sqref="AJ12:AJ13">
    <cfRule type="expression" dxfId="51" priority="48" stopIfTrue="1">
      <formula>IF(WEEKDAY(AJ$5)=1,TRUE,FALSE)</formula>
    </cfRule>
  </conditionalFormatting>
  <conditionalFormatting sqref="AJ14:AJ15">
    <cfRule type="expression" dxfId="50" priority="24" stopIfTrue="1">
      <formula>IF(WEEKDAY(AJ$5)=1,TRUE,FALSE)</formula>
    </cfRule>
  </conditionalFormatting>
  <conditionalFormatting sqref="AJ14:AJ15">
    <cfRule type="expression" dxfId="49" priority="23" stopIfTrue="1">
      <formula>IF(WEEKDAY(AJ$5)=1,TRUE,FALSE)</formula>
    </cfRule>
  </conditionalFormatting>
  <conditionalFormatting sqref="AJ14:AJ15">
    <cfRule type="expression" dxfId="48" priority="22" stopIfTrue="1">
      <formula>IF(WEEKDAY(AJ$5)=1,TRUE,FALSE)</formula>
    </cfRule>
  </conditionalFormatting>
  <conditionalFormatting sqref="AJ14:AJ15">
    <cfRule type="expression" dxfId="47" priority="21" stopIfTrue="1">
      <formula>IF(WEEKDAY(AJ$5)=1,TRUE,FALSE)</formula>
    </cfRule>
  </conditionalFormatting>
  <conditionalFormatting sqref="AJ14:AJ15">
    <cfRule type="expression" dxfId="46" priority="20" stopIfTrue="1">
      <formula>IF(WEEKDAY(AJ$5)=1,TRUE,FALSE)</formula>
    </cfRule>
  </conditionalFormatting>
  <conditionalFormatting sqref="AJ14:AJ15">
    <cfRule type="expression" dxfId="45" priority="19" stopIfTrue="1">
      <formula>IF(WEEKDAY(AJ$5)=1,TRUE,FALSE)</formula>
    </cfRule>
  </conditionalFormatting>
  <conditionalFormatting sqref="AJ14:AJ15">
    <cfRule type="expression" dxfId="44" priority="18" stopIfTrue="1">
      <formula>IF(WEEKDAY(AJ$5)=1,TRUE,FALSE)</formula>
    </cfRule>
  </conditionalFormatting>
  <conditionalFormatting sqref="F12:AI17">
    <cfRule type="expression" dxfId="43" priority="2" stopIfTrue="1">
      <formula>IF(WEEKDAY(F$5)=1,TRUE,FALSE)</formula>
    </cfRule>
  </conditionalFormatting>
  <conditionalFormatting sqref="F12:AI17">
    <cfRule type="expression" dxfId="42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29"/>
  <sheetViews>
    <sheetView zoomScaleNormal="70" workbookViewId="0">
      <pane xSplit="3" ySplit="8" topLeftCell="G9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B15" sqref="B15:B16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78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26"/>
      <c r="B1" s="180"/>
      <c r="C1" s="180"/>
      <c r="D1" s="273" t="str">
        <f>"BẢNG THANH TOÁN LƯƠNG THÁNG"&amp;" "&amp;TEXT($E$4,"mm")&amp;" / "&amp;TEXT($E$4,"yyyy")</f>
        <v>BẢNG THANH TOÁN LƯƠNG THÁNG 06 / 2017</v>
      </c>
      <c r="E1" s="273"/>
      <c r="F1" s="273"/>
      <c r="G1" s="273"/>
      <c r="H1" s="273"/>
      <c r="I1" s="273"/>
      <c r="J1" s="273"/>
      <c r="K1" s="273"/>
      <c r="L1" s="273"/>
      <c r="M1" s="273"/>
      <c r="N1" s="273"/>
      <c r="O1" s="273"/>
      <c r="P1" s="273"/>
      <c r="Q1" s="274"/>
      <c r="R1" s="275" t="s">
        <v>79</v>
      </c>
      <c r="S1" s="276"/>
      <c r="T1" s="277"/>
      <c r="U1" s="117" t="s">
        <v>51</v>
      </c>
      <c r="V1" s="97" t="s">
        <v>33</v>
      </c>
      <c r="W1" s="70"/>
      <c r="X1" s="70"/>
      <c r="Y1" s="5"/>
      <c r="Z1" s="5"/>
    </row>
    <row r="2" spans="1:31" s="4" customFormat="1" ht="15" customHeight="1">
      <c r="A2" s="126"/>
      <c r="B2" s="180"/>
      <c r="C2" s="180"/>
      <c r="D2" s="180"/>
      <c r="E2" s="68"/>
      <c r="F2" s="180"/>
      <c r="G2" s="180"/>
      <c r="H2" s="180"/>
      <c r="I2" s="180"/>
      <c r="J2" s="69"/>
      <c r="K2" s="180"/>
      <c r="L2" s="180"/>
      <c r="M2" s="180"/>
      <c r="N2" s="180"/>
      <c r="O2" s="180"/>
      <c r="P2" s="180"/>
      <c r="Q2" s="180"/>
      <c r="R2" s="180"/>
      <c r="S2" s="180"/>
      <c r="T2" s="46"/>
      <c r="U2" s="67">
        <f>MAX(F10:F18)</f>
        <v>26</v>
      </c>
      <c r="V2" s="98">
        <v>31</v>
      </c>
      <c r="W2" s="70"/>
      <c r="X2" s="70"/>
      <c r="Y2" s="5"/>
      <c r="Z2" s="5"/>
    </row>
    <row r="3" spans="1:31" s="4" customFormat="1" ht="15" customHeight="1">
      <c r="A3" s="126"/>
      <c r="B3" s="180"/>
      <c r="C3" s="180"/>
      <c r="D3" s="180"/>
      <c r="E3" s="68"/>
      <c r="F3" s="180"/>
      <c r="G3" s="180"/>
      <c r="H3" s="180"/>
      <c r="I3" s="180"/>
      <c r="J3" s="69"/>
      <c r="K3" s="180"/>
      <c r="L3" s="180"/>
      <c r="M3" s="180"/>
      <c r="N3" s="180"/>
      <c r="O3" s="180"/>
      <c r="P3" s="180"/>
      <c r="Q3" s="180"/>
      <c r="R3" s="180"/>
      <c r="S3" s="180"/>
      <c r="T3" s="46"/>
      <c r="U3" s="118"/>
      <c r="V3" s="119"/>
      <c r="W3" s="70"/>
      <c r="X3" s="70"/>
      <c r="Y3" s="5"/>
      <c r="Z3" s="5"/>
    </row>
    <row r="4" spans="1:31" s="92" customFormat="1" ht="14.25" customHeight="1">
      <c r="A4" s="90"/>
      <c r="B4" s="91"/>
      <c r="C4" s="91"/>
      <c r="D4" s="91"/>
      <c r="E4" s="175">
        <f>'CC -6'!$E$4</f>
        <v>42887</v>
      </c>
      <c r="F4" s="91"/>
      <c r="G4" s="91"/>
      <c r="H4" s="91"/>
      <c r="I4" s="91"/>
      <c r="J4" s="91"/>
      <c r="K4" s="91"/>
      <c r="L4" s="91"/>
      <c r="M4" s="91"/>
      <c r="N4" s="148">
        <v>0.08</v>
      </c>
      <c r="O4" s="148">
        <v>1.4999999999999999E-2</v>
      </c>
      <c r="P4" s="148">
        <v>0.01</v>
      </c>
      <c r="Q4" s="91"/>
      <c r="R4" s="91"/>
      <c r="S4" s="91"/>
      <c r="T4" s="91"/>
      <c r="U4" s="91"/>
      <c r="V4" s="93"/>
      <c r="W4" s="93"/>
      <c r="X4" s="93"/>
      <c r="Y4" s="93"/>
      <c r="Z4" s="93"/>
    </row>
    <row r="5" spans="1:31" s="21" customFormat="1" ht="24" customHeight="1">
      <c r="A5" s="278" t="s">
        <v>19</v>
      </c>
      <c r="B5" s="278" t="s">
        <v>20</v>
      </c>
      <c r="C5" s="232" t="s">
        <v>1</v>
      </c>
      <c r="D5" s="232" t="s">
        <v>2</v>
      </c>
      <c r="E5" s="235" t="s">
        <v>49</v>
      </c>
      <c r="F5" s="280" t="s">
        <v>24</v>
      </c>
      <c r="G5" s="281"/>
      <c r="H5" s="281"/>
      <c r="I5" s="281"/>
      <c r="J5" s="281"/>
      <c r="K5" s="282"/>
      <c r="L5" s="269" t="s">
        <v>50</v>
      </c>
      <c r="M5" s="269" t="s">
        <v>5</v>
      </c>
      <c r="N5" s="232" t="s">
        <v>6</v>
      </c>
      <c r="O5" s="232"/>
      <c r="P5" s="232"/>
      <c r="Q5" s="269" t="s">
        <v>7</v>
      </c>
      <c r="R5" s="269" t="s">
        <v>8</v>
      </c>
      <c r="S5" s="269" t="s">
        <v>9</v>
      </c>
      <c r="T5" s="233" t="s">
        <v>10</v>
      </c>
      <c r="U5" s="91"/>
      <c r="V5" s="22"/>
      <c r="W5" s="22"/>
      <c r="X5" s="5"/>
      <c r="Y5" s="5"/>
      <c r="Z5" s="5"/>
      <c r="AA5" s="4"/>
      <c r="AB5" s="4"/>
      <c r="AC5" s="4"/>
      <c r="AD5" s="4"/>
      <c r="AE5" s="4"/>
    </row>
    <row r="6" spans="1:31" s="21" customFormat="1" ht="33.75" customHeight="1">
      <c r="A6" s="279"/>
      <c r="B6" s="279"/>
      <c r="C6" s="232"/>
      <c r="D6" s="232"/>
      <c r="E6" s="235"/>
      <c r="F6" s="280" t="s">
        <v>52</v>
      </c>
      <c r="G6" s="282"/>
      <c r="H6" s="280" t="s">
        <v>71</v>
      </c>
      <c r="I6" s="281"/>
      <c r="J6" s="267" t="s">
        <v>25</v>
      </c>
      <c r="K6" s="269" t="s">
        <v>4</v>
      </c>
      <c r="L6" s="270"/>
      <c r="M6" s="270"/>
      <c r="N6" s="271" t="s">
        <v>12</v>
      </c>
      <c r="O6" s="269" t="s">
        <v>13</v>
      </c>
      <c r="P6" s="269" t="s">
        <v>31</v>
      </c>
      <c r="Q6" s="270"/>
      <c r="R6" s="270"/>
      <c r="S6" s="270"/>
      <c r="T6" s="234"/>
      <c r="U6" s="91"/>
      <c r="V6" s="22"/>
      <c r="W6" s="22"/>
      <c r="X6" s="5"/>
      <c r="Y6" s="5"/>
      <c r="Z6" s="5"/>
      <c r="AA6" s="4"/>
      <c r="AB6" s="4"/>
      <c r="AC6" s="4"/>
      <c r="AD6" s="4"/>
      <c r="AE6" s="4"/>
    </row>
    <row r="7" spans="1:31" s="21" customFormat="1" ht="35.25" customHeight="1">
      <c r="A7" s="279"/>
      <c r="B7" s="279"/>
      <c r="C7" s="269"/>
      <c r="D7" s="269"/>
      <c r="E7" s="235"/>
      <c r="F7" s="181" t="s">
        <v>34</v>
      </c>
      <c r="G7" s="178" t="s">
        <v>18</v>
      </c>
      <c r="H7" s="181" t="s">
        <v>34</v>
      </c>
      <c r="I7" s="115" t="s">
        <v>18</v>
      </c>
      <c r="J7" s="268"/>
      <c r="K7" s="270"/>
      <c r="L7" s="283"/>
      <c r="M7" s="283"/>
      <c r="N7" s="272"/>
      <c r="O7" s="270"/>
      <c r="P7" s="270"/>
      <c r="Q7" s="270"/>
      <c r="R7" s="270"/>
      <c r="S7" s="270"/>
      <c r="T7" s="234"/>
      <c r="U7" s="91"/>
      <c r="V7" s="22"/>
      <c r="W7" s="22"/>
      <c r="X7" s="5"/>
      <c r="Y7" s="5"/>
      <c r="Z7" s="5"/>
      <c r="AA7" s="4"/>
      <c r="AB7" s="4"/>
      <c r="AC7" s="4"/>
      <c r="AD7" s="4"/>
      <c r="AE7" s="4"/>
    </row>
    <row r="8" spans="1:31" s="72" customFormat="1" ht="12.75" customHeight="1">
      <c r="A8" s="71">
        <v>1</v>
      </c>
      <c r="B8" s="71">
        <v>1</v>
      </c>
      <c r="C8" s="71">
        <v>2</v>
      </c>
      <c r="D8" s="71">
        <v>3</v>
      </c>
      <c r="E8" s="71">
        <v>4</v>
      </c>
      <c r="F8" s="71">
        <v>5</v>
      </c>
      <c r="G8" s="71">
        <v>6</v>
      </c>
      <c r="H8" s="71">
        <v>7</v>
      </c>
      <c r="I8" s="71">
        <v>8</v>
      </c>
      <c r="J8" s="71">
        <v>9</v>
      </c>
      <c r="K8" s="71">
        <v>10</v>
      </c>
      <c r="L8" s="71">
        <v>11</v>
      </c>
      <c r="M8" s="71">
        <v>12</v>
      </c>
      <c r="N8" s="71">
        <v>13</v>
      </c>
      <c r="O8" s="71">
        <v>14</v>
      </c>
      <c r="P8" s="71">
        <v>15</v>
      </c>
      <c r="Q8" s="71">
        <v>16</v>
      </c>
      <c r="R8" s="71">
        <v>17</v>
      </c>
      <c r="S8" s="71">
        <v>18</v>
      </c>
      <c r="T8" s="71">
        <v>19</v>
      </c>
      <c r="U8" s="91"/>
      <c r="V8" s="73"/>
      <c r="W8" s="73"/>
      <c r="X8" s="74"/>
      <c r="Y8" s="74"/>
      <c r="Z8" s="74"/>
      <c r="AA8" s="75"/>
      <c r="AB8" s="75"/>
      <c r="AC8" s="75"/>
      <c r="AD8" s="75"/>
      <c r="AE8" s="75"/>
    </row>
    <row r="9" spans="1:31" s="72" customFormat="1" ht="24" customHeight="1">
      <c r="A9" s="174" t="s">
        <v>68</v>
      </c>
      <c r="B9" s="173" t="s">
        <v>80</v>
      </c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2"/>
      <c r="Q9" s="172"/>
      <c r="R9" s="172"/>
      <c r="S9" s="172"/>
      <c r="T9" s="172"/>
      <c r="U9" s="91"/>
      <c r="V9" s="73"/>
      <c r="W9" s="73"/>
      <c r="X9" s="74"/>
      <c r="Y9" s="74"/>
      <c r="Z9" s="74"/>
      <c r="AA9" s="75"/>
      <c r="AB9" s="75"/>
      <c r="AC9" s="75"/>
      <c r="AD9" s="75"/>
      <c r="AE9" s="75"/>
    </row>
    <row r="10" spans="1:31" s="29" customFormat="1" ht="24" customHeight="1">
      <c r="A10" s="31">
        <v>1</v>
      </c>
      <c r="B10" s="128" t="s">
        <v>74</v>
      </c>
      <c r="C10" s="76" t="str">
        <f t="shared" ref="C10" si="0">VLOOKUP(B10,DS,2,0)</f>
        <v>Nguyễn Thị Kim Quyên</v>
      </c>
      <c r="D10" s="103" t="str">
        <f t="shared" ref="D10" si="1">VLOOKUP(B10,DS,3,0)</f>
        <v>Văn Phòng</v>
      </c>
      <c r="E10" s="77">
        <f t="shared" ref="E10" si="2">VLOOKUP(B10,DS,4,0)</f>
        <v>4000000</v>
      </c>
      <c r="F10" s="79">
        <f>VLOOKUP(B10,'CC -6'!$B$8:$AS$17,36,0)</f>
        <v>26</v>
      </c>
      <c r="G10" s="132">
        <f t="shared" ref="G10" si="3">ROUND(E10/$U$2*F10,0)</f>
        <v>4000000</v>
      </c>
      <c r="H10" s="79">
        <f>(VLOOKUP(B10,'CC -6'!$B$8:$AS$17,37,0)+VLOOKUP(B10,'CC -6'!$B$8:$AS$17,38,0))</f>
        <v>0</v>
      </c>
      <c r="I10" s="132">
        <f t="shared" ref="I10" si="4">ROUND(E10/$U$2*H10,0)</f>
        <v>0</v>
      </c>
      <c r="J10" s="80">
        <f t="shared" ref="J10" si="5">F10+H10</f>
        <v>26</v>
      </c>
      <c r="K10" s="32">
        <f>G10+I10</f>
        <v>4000000</v>
      </c>
      <c r="L10" s="77">
        <f t="shared" ref="L10" si="6">+F10*15000</f>
        <v>390000</v>
      </c>
      <c r="M10" s="33">
        <f t="shared" ref="M10" si="7">K10+L10</f>
        <v>4390000</v>
      </c>
      <c r="N10" s="33">
        <f>IF(VLOOKUP($B10,DS,19,0)="x",$E10*N$4,0)</f>
        <v>0</v>
      </c>
      <c r="O10" s="33">
        <f>IF(VLOOKUP($B10,DS,19,0)="x",$E10*O$4,0)</f>
        <v>0</v>
      </c>
      <c r="P10" s="33">
        <f>IF(VLOOKUP($B10,DS,19,0)="x",$E10*P$4,0)</f>
        <v>0</v>
      </c>
      <c r="Q10" s="32">
        <f t="shared" ref="Q10" si="8">M10-SUM(N10:P10)</f>
        <v>4390000</v>
      </c>
      <c r="R10" s="32">
        <f>VLOOKUP(B10,DS,23,0)</f>
        <v>0</v>
      </c>
      <c r="S10" s="38">
        <f t="shared" ref="S10" si="9">Q10-R10</f>
        <v>4390000</v>
      </c>
      <c r="T10" s="32"/>
      <c r="U10" s="91"/>
      <c r="V10" s="30"/>
      <c r="W10" s="22"/>
      <c r="X10" s="5"/>
      <c r="Y10" s="5"/>
      <c r="Z10" s="5"/>
      <c r="AA10" s="4"/>
      <c r="AB10" s="4"/>
      <c r="AC10" s="4"/>
      <c r="AD10" s="4"/>
      <c r="AE10" s="4"/>
    </row>
    <row r="11" spans="1:31" s="29" customFormat="1" ht="24" customHeight="1">
      <c r="A11" s="187"/>
      <c r="B11" s="188"/>
      <c r="C11" s="189"/>
      <c r="D11" s="190"/>
      <c r="E11" s="191"/>
      <c r="F11" s="192"/>
      <c r="G11" s="193"/>
      <c r="H11" s="192"/>
      <c r="I11" s="193"/>
      <c r="J11" s="194"/>
      <c r="K11" s="195"/>
      <c r="L11" s="191"/>
      <c r="M11" s="196"/>
      <c r="N11" s="196"/>
      <c r="O11" s="196"/>
      <c r="P11" s="196"/>
      <c r="Q11" s="195"/>
      <c r="R11" s="195"/>
      <c r="S11" s="197"/>
      <c r="T11" s="195"/>
      <c r="U11" s="91"/>
      <c r="V11" s="30"/>
      <c r="W11" s="22"/>
      <c r="X11" s="5"/>
      <c r="Y11" s="5"/>
      <c r="Z11" s="5"/>
      <c r="AA11" s="4"/>
      <c r="AB11" s="4"/>
      <c r="AC11" s="4"/>
      <c r="AD11" s="4"/>
      <c r="AE11" s="4"/>
    </row>
    <row r="12" spans="1:31" s="25" customFormat="1" ht="21" customHeight="1">
      <c r="A12" s="221" t="s">
        <v>23</v>
      </c>
      <c r="B12" s="222"/>
      <c r="C12" s="222"/>
      <c r="D12" s="223"/>
      <c r="E12" s="127">
        <f>SUM(E9:E10)</f>
        <v>4000000</v>
      </c>
      <c r="F12" s="127"/>
      <c r="G12" s="127">
        <f>SUM(G9:G10)</f>
        <v>4000000</v>
      </c>
      <c r="H12" s="127"/>
      <c r="I12" s="127">
        <f>SUM(I9:I10)</f>
        <v>0</v>
      </c>
      <c r="J12" s="127"/>
      <c r="K12" s="127">
        <f t="shared" ref="K12:S12" si="10">SUM(K9:K10)</f>
        <v>4000000</v>
      </c>
      <c r="L12" s="127">
        <f t="shared" si="10"/>
        <v>390000</v>
      </c>
      <c r="M12" s="127">
        <f t="shared" si="10"/>
        <v>4390000</v>
      </c>
      <c r="N12" s="127">
        <f t="shared" si="10"/>
        <v>0</v>
      </c>
      <c r="O12" s="127">
        <f t="shared" si="10"/>
        <v>0</v>
      </c>
      <c r="P12" s="127">
        <f t="shared" si="10"/>
        <v>0</v>
      </c>
      <c r="Q12" s="127">
        <f t="shared" si="10"/>
        <v>4390000</v>
      </c>
      <c r="R12" s="127">
        <f t="shared" si="10"/>
        <v>0</v>
      </c>
      <c r="S12" s="127">
        <f t="shared" si="10"/>
        <v>4390000</v>
      </c>
      <c r="T12" s="20"/>
      <c r="U12" s="91"/>
      <c r="V12" s="26"/>
      <c r="W12" s="26"/>
      <c r="X12" s="26"/>
      <c r="Y12" s="26"/>
      <c r="Z12" s="26"/>
    </row>
    <row r="13" spans="1:31" s="72" customFormat="1" ht="24" customHeight="1">
      <c r="A13" s="174" t="s">
        <v>69</v>
      </c>
      <c r="B13" s="173" t="s">
        <v>70</v>
      </c>
      <c r="C13" s="172"/>
      <c r="D13" s="172"/>
      <c r="E13" s="172"/>
      <c r="F13" s="172"/>
      <c r="G13" s="172"/>
      <c r="H13" s="172"/>
      <c r="I13" s="172"/>
      <c r="J13" s="172"/>
      <c r="K13" s="172"/>
      <c r="L13" s="172"/>
      <c r="M13" s="172"/>
      <c r="N13" s="172"/>
      <c r="O13" s="172"/>
      <c r="P13" s="172"/>
      <c r="Q13" s="172"/>
      <c r="R13" s="172"/>
      <c r="S13" s="172"/>
      <c r="T13" s="172"/>
      <c r="U13" s="91"/>
      <c r="V13" s="73"/>
      <c r="W13" s="73"/>
      <c r="X13" s="74"/>
      <c r="Y13" s="74"/>
      <c r="Z13" s="74"/>
      <c r="AA13" s="75"/>
      <c r="AB13" s="75"/>
      <c r="AC13" s="75"/>
      <c r="AD13" s="75"/>
      <c r="AE13" s="75"/>
    </row>
    <row r="14" spans="1:31" s="29" customFormat="1" ht="24" customHeight="1">
      <c r="A14" s="31">
        <v>1</v>
      </c>
      <c r="B14" s="128" t="s">
        <v>75</v>
      </c>
      <c r="C14" s="76" t="str">
        <f t="shared" ref="C14:C16" si="11">VLOOKUP(B14,DS,2,0)</f>
        <v>Lê Văn Hữu</v>
      </c>
      <c r="D14" s="103" t="str">
        <f t="shared" ref="D14:D16" si="12">VLOOKUP(B14,DS,3,0)</f>
        <v>Công Đoạn 1</v>
      </c>
      <c r="E14" s="77">
        <f t="shared" ref="E14:E16" si="13">VLOOKUP(B14,DS,4,0)</f>
        <v>3200000</v>
      </c>
      <c r="F14" s="79">
        <f>VLOOKUP(B14,'CC -6'!$B$8:$AS$17,36,0)</f>
        <v>26</v>
      </c>
      <c r="G14" s="132">
        <f t="shared" ref="G14:G16" si="14">ROUND(E14/$U$2*F14,0)</f>
        <v>3200000</v>
      </c>
      <c r="H14" s="79">
        <f>(VLOOKUP(B14,'CC -6'!$B$8:$AS$17,37,0)+VLOOKUP(B14,'CC -6'!$B$8:$AS$17,38,0))</f>
        <v>0</v>
      </c>
      <c r="I14" s="132">
        <f t="shared" ref="I14:I16" si="15">ROUND(E14/$U$2*H14,0)</f>
        <v>0</v>
      </c>
      <c r="J14" s="133">
        <f t="shared" ref="J14:K16" si="16">F14+H14</f>
        <v>26</v>
      </c>
      <c r="K14" s="32">
        <f t="shared" si="16"/>
        <v>3200000</v>
      </c>
      <c r="L14" s="77">
        <f t="shared" ref="L14:L16" si="17">+F14*15000</f>
        <v>390000</v>
      </c>
      <c r="M14" s="33">
        <f t="shared" ref="M14:M16" si="18">K14+L14</f>
        <v>3590000</v>
      </c>
      <c r="N14" s="33">
        <f t="shared" ref="N14:P16" si="19">IF(VLOOKUP($B14,DS,19,0)="x",$E14*N$4,0)</f>
        <v>0</v>
      </c>
      <c r="O14" s="33">
        <f t="shared" si="19"/>
        <v>0</v>
      </c>
      <c r="P14" s="33">
        <f t="shared" si="19"/>
        <v>0</v>
      </c>
      <c r="Q14" s="32">
        <f>M14-SUM(N14:P14)</f>
        <v>3590000</v>
      </c>
      <c r="R14" s="32">
        <f t="shared" ref="R14:R16" si="20">VLOOKUP(B14,DS,23,0)</f>
        <v>0</v>
      </c>
      <c r="S14" s="38">
        <f>Q14-R14</f>
        <v>3590000</v>
      </c>
      <c r="T14" s="32"/>
      <c r="U14" s="91"/>
      <c r="V14" s="30"/>
      <c r="W14" s="22"/>
      <c r="X14" s="5"/>
      <c r="Y14" s="5"/>
      <c r="Z14" s="5"/>
      <c r="AA14" s="4"/>
      <c r="AB14" s="4"/>
      <c r="AC14" s="4"/>
      <c r="AD14" s="4"/>
      <c r="AE14" s="4"/>
    </row>
    <row r="15" spans="1:31" s="29" customFormat="1" ht="24" customHeight="1">
      <c r="A15" s="31">
        <v>2</v>
      </c>
      <c r="B15" s="128" t="s">
        <v>76</v>
      </c>
      <c r="C15" s="76" t="str">
        <f t="shared" ref="C15" si="21">VLOOKUP(B15,DS,2,0)</f>
        <v>Lý Thanh Hải</v>
      </c>
      <c r="D15" s="103" t="str">
        <f t="shared" ref="D15" si="22">VLOOKUP(B15,DS,3,0)</f>
        <v>Công Đoạn 1</v>
      </c>
      <c r="E15" s="77">
        <f t="shared" ref="E15" si="23">VLOOKUP(B15,DS,4,0)</f>
        <v>5000000</v>
      </c>
      <c r="F15" s="79">
        <f>VLOOKUP(B15,'CC -6'!$B$8:$AS$17,36,0)</f>
        <v>26</v>
      </c>
      <c r="G15" s="132">
        <f t="shared" ref="G15" si="24">ROUND(E15/$U$2*F15,0)</f>
        <v>5000000</v>
      </c>
      <c r="H15" s="79">
        <f>(VLOOKUP(B15,'CC -6'!$B$8:$AS$17,37,0)+VLOOKUP(B15,'CC -6'!$B$8:$AS$17,38,0))</f>
        <v>0</v>
      </c>
      <c r="I15" s="132">
        <f t="shared" ref="I15" si="25">ROUND(E15/$U$2*H15,0)</f>
        <v>0</v>
      </c>
      <c r="J15" s="133">
        <f t="shared" ref="J15" si="26">F15+H15</f>
        <v>26</v>
      </c>
      <c r="K15" s="32">
        <f t="shared" ref="K15" si="27">G15+I15</f>
        <v>5000000</v>
      </c>
      <c r="L15" s="77">
        <f t="shared" ref="L15" si="28">+F15*15000</f>
        <v>390000</v>
      </c>
      <c r="M15" s="33">
        <f t="shared" ref="M15" si="29">K15+L15</f>
        <v>5390000</v>
      </c>
      <c r="N15" s="33">
        <f t="shared" si="19"/>
        <v>0</v>
      </c>
      <c r="O15" s="33">
        <f t="shared" si="19"/>
        <v>0</v>
      </c>
      <c r="P15" s="33">
        <f t="shared" si="19"/>
        <v>0</v>
      </c>
      <c r="Q15" s="32">
        <f t="shared" ref="Q15" si="30">M15-SUM(N15:P15)</f>
        <v>5390000</v>
      </c>
      <c r="R15" s="32">
        <f t="shared" ref="R15" si="31">VLOOKUP(B15,DS,23,0)</f>
        <v>0</v>
      </c>
      <c r="S15" s="38">
        <f t="shared" ref="S15" si="32">Q15-R15</f>
        <v>5390000</v>
      </c>
      <c r="T15" s="32"/>
      <c r="U15" s="91"/>
      <c r="V15" s="30"/>
      <c r="W15" s="22"/>
      <c r="X15" s="5"/>
      <c r="Y15" s="5"/>
      <c r="Z15" s="5"/>
      <c r="AA15" s="4"/>
      <c r="AB15" s="4"/>
      <c r="AC15" s="4"/>
      <c r="AD15" s="4"/>
      <c r="AE15" s="4"/>
    </row>
    <row r="16" spans="1:31" s="29" customFormat="1" ht="24" customHeight="1">
      <c r="A16" s="31">
        <v>3</v>
      </c>
      <c r="B16" s="128" t="s">
        <v>77</v>
      </c>
      <c r="C16" s="76" t="str">
        <f t="shared" si="11"/>
        <v>Cao Minh Chí</v>
      </c>
      <c r="D16" s="103" t="str">
        <f t="shared" si="12"/>
        <v>Công Đoạn 2</v>
      </c>
      <c r="E16" s="77">
        <f t="shared" si="13"/>
        <v>3200000</v>
      </c>
      <c r="F16" s="79">
        <f>VLOOKUP(B16,'CC -6'!$B$8:$AS$17,36,0)</f>
        <v>26</v>
      </c>
      <c r="G16" s="132">
        <f t="shared" si="14"/>
        <v>3200000</v>
      </c>
      <c r="H16" s="79">
        <f>(VLOOKUP(B16,'CC -6'!$B$8:$AS$17,37,0)+VLOOKUP(B16,'CC -6'!$B$8:$AS$17,38,0))</f>
        <v>0</v>
      </c>
      <c r="I16" s="132">
        <f t="shared" si="15"/>
        <v>0</v>
      </c>
      <c r="J16" s="133">
        <f t="shared" si="16"/>
        <v>26</v>
      </c>
      <c r="K16" s="32">
        <f t="shared" si="16"/>
        <v>3200000</v>
      </c>
      <c r="L16" s="77">
        <f t="shared" si="17"/>
        <v>390000</v>
      </c>
      <c r="M16" s="33">
        <f t="shared" si="18"/>
        <v>3590000</v>
      </c>
      <c r="N16" s="33">
        <f t="shared" si="19"/>
        <v>0</v>
      </c>
      <c r="O16" s="33">
        <f t="shared" si="19"/>
        <v>0</v>
      </c>
      <c r="P16" s="33">
        <f t="shared" si="19"/>
        <v>0</v>
      </c>
      <c r="Q16" s="32">
        <f t="shared" ref="Q16" si="33">M16-SUM(N16:P16)</f>
        <v>3590000</v>
      </c>
      <c r="R16" s="32">
        <f t="shared" si="20"/>
        <v>0</v>
      </c>
      <c r="S16" s="38">
        <f t="shared" ref="S16" si="34">Q16-R16</f>
        <v>3590000</v>
      </c>
      <c r="T16" s="32"/>
      <c r="U16" s="91"/>
      <c r="V16" s="30"/>
      <c r="W16" s="22"/>
      <c r="X16" s="5"/>
      <c r="Y16" s="5"/>
      <c r="Z16" s="5"/>
      <c r="AA16" s="4"/>
      <c r="AB16" s="4"/>
      <c r="AC16" s="4"/>
      <c r="AD16" s="4"/>
      <c r="AE16" s="4"/>
    </row>
    <row r="17" spans="1:26" s="29" customFormat="1" ht="22.5" customHeight="1">
      <c r="A17" s="34"/>
      <c r="B17" s="171"/>
      <c r="C17" s="35"/>
      <c r="D17" s="3"/>
      <c r="E17" s="36"/>
      <c r="F17" s="36"/>
      <c r="G17" s="36"/>
      <c r="H17" s="36"/>
      <c r="I17" s="36"/>
      <c r="J17" s="37"/>
      <c r="K17" s="36"/>
      <c r="L17" s="36"/>
      <c r="M17" s="170"/>
      <c r="N17" s="36"/>
      <c r="O17" s="36"/>
      <c r="P17" s="36"/>
      <c r="Q17" s="36"/>
      <c r="R17" s="36"/>
      <c r="S17" s="36"/>
      <c r="T17" s="32"/>
      <c r="U17" s="91"/>
      <c r="V17" s="30"/>
      <c r="W17" s="30"/>
      <c r="X17" s="30"/>
      <c r="Y17" s="30"/>
      <c r="Z17" s="30"/>
    </row>
    <row r="18" spans="1:26" s="25" customFormat="1" ht="21" customHeight="1">
      <c r="A18" s="221" t="s">
        <v>23</v>
      </c>
      <c r="B18" s="222"/>
      <c r="C18" s="222"/>
      <c r="D18" s="223"/>
      <c r="E18" s="127">
        <f>SUM(E13:E17)</f>
        <v>11400000</v>
      </c>
      <c r="F18" s="127"/>
      <c r="G18" s="127">
        <f>SUM(G13:G17)</f>
        <v>11400000</v>
      </c>
      <c r="H18" s="127"/>
      <c r="I18" s="127">
        <f>SUM(I13:I17)</f>
        <v>0</v>
      </c>
      <c r="J18" s="127"/>
      <c r="K18" s="127">
        <f t="shared" ref="K18:S18" si="35">SUM(K13:K17)</f>
        <v>11400000</v>
      </c>
      <c r="L18" s="127">
        <f t="shared" si="35"/>
        <v>1170000</v>
      </c>
      <c r="M18" s="127">
        <f t="shared" si="35"/>
        <v>12570000</v>
      </c>
      <c r="N18" s="127">
        <f t="shared" si="35"/>
        <v>0</v>
      </c>
      <c r="O18" s="127">
        <f t="shared" si="35"/>
        <v>0</v>
      </c>
      <c r="P18" s="127">
        <f t="shared" si="35"/>
        <v>0</v>
      </c>
      <c r="Q18" s="127">
        <f t="shared" si="35"/>
        <v>12570000</v>
      </c>
      <c r="R18" s="127">
        <f t="shared" si="35"/>
        <v>0</v>
      </c>
      <c r="S18" s="127">
        <f t="shared" si="35"/>
        <v>12570000</v>
      </c>
      <c r="T18" s="20"/>
      <c r="U18" s="91"/>
      <c r="V18" s="26"/>
      <c r="W18" s="26"/>
      <c r="X18" s="26"/>
      <c r="Y18" s="26"/>
      <c r="Z18" s="26"/>
    </row>
    <row r="19" spans="1:26" ht="11.25" customHeight="1">
      <c r="A19" s="8"/>
      <c r="B19" s="8"/>
      <c r="C19" s="9"/>
      <c r="D19" s="104"/>
      <c r="E19" s="81"/>
      <c r="F19" s="9"/>
      <c r="G19" s="9"/>
      <c r="H19" s="9"/>
      <c r="I19" s="9"/>
      <c r="K19" s="9"/>
      <c r="L19" s="9"/>
      <c r="M19" s="89"/>
      <c r="N19" s="9"/>
      <c r="O19" s="9"/>
      <c r="P19" s="9"/>
      <c r="Q19" s="9"/>
      <c r="R19" s="9"/>
      <c r="S19" s="9"/>
      <c r="T19" s="9"/>
      <c r="U19" s="91"/>
    </row>
    <row r="20" spans="1:26" s="29" customFormat="1" ht="11.25" customHeight="1">
      <c r="A20" s="65"/>
      <c r="B20" s="65"/>
      <c r="C20" s="65"/>
      <c r="D20" s="120"/>
      <c r="E20" s="121"/>
      <c r="F20" s="65"/>
      <c r="G20" s="65"/>
      <c r="H20" s="65"/>
      <c r="I20" s="65"/>
      <c r="J20" s="122"/>
      <c r="K20" s="121"/>
      <c r="L20" s="65"/>
      <c r="M20" s="65"/>
      <c r="N20" s="65"/>
      <c r="O20" s="65"/>
      <c r="P20" s="65"/>
      <c r="Q20" s="65"/>
      <c r="R20" s="65"/>
      <c r="S20" s="95" t="str">
        <f>"Bình Chánh, ngày  "&amp;$V$2&amp;"   tháng   "&amp;TEXT($E$4,"mm")&amp;"   năm "&amp;TEXT($E$4,"yyyy")</f>
        <v>Bình Chánh, ngày  31   tháng   06   năm 2017</v>
      </c>
      <c r="T20" s="65"/>
      <c r="U20" s="123"/>
      <c r="V20" s="30"/>
      <c r="W20" s="30"/>
      <c r="X20" s="30"/>
      <c r="Y20" s="30"/>
      <c r="Z20" s="30"/>
    </row>
    <row r="21" spans="1:26" s="29" customFormat="1" ht="12.75">
      <c r="A21" s="23"/>
      <c r="B21" s="23"/>
      <c r="C21" s="23" t="s">
        <v>53</v>
      </c>
      <c r="D21" s="124"/>
      <c r="E21" s="66"/>
      <c r="F21" s="123"/>
      <c r="G21" s="66"/>
      <c r="H21" s="66"/>
      <c r="I21" s="66"/>
      <c r="J21" s="125"/>
      <c r="K21" s="30"/>
      <c r="L21" s="23"/>
      <c r="M21" s="134"/>
      <c r="N21" s="19"/>
      <c r="O21" s="19"/>
      <c r="P21" s="19"/>
      <c r="Q21" s="19"/>
      <c r="S21" s="123" t="s">
        <v>21</v>
      </c>
      <c r="T21" s="123"/>
      <c r="U21" s="123"/>
      <c r="V21" s="30"/>
      <c r="W21" s="30"/>
      <c r="X21" s="30"/>
      <c r="Y21" s="30"/>
      <c r="Z21" s="30"/>
    </row>
    <row r="22" spans="1:26" ht="12">
      <c r="A22" s="8"/>
      <c r="B22" s="8"/>
      <c r="C22" s="15"/>
      <c r="E22" s="13"/>
      <c r="F22" s="12"/>
      <c r="G22" s="13"/>
      <c r="H22" s="13"/>
      <c r="I22" s="13"/>
      <c r="K22" s="7"/>
      <c r="L22" s="15"/>
      <c r="N22" s="11"/>
      <c r="O22" s="11"/>
      <c r="P22" s="11"/>
      <c r="Q22" s="11"/>
      <c r="S22" s="11"/>
      <c r="T22" s="12"/>
      <c r="U22" s="91"/>
    </row>
    <row r="23" spans="1:26" ht="12">
      <c r="C23" s="15"/>
      <c r="L23" s="15"/>
      <c r="T23" s="15"/>
      <c r="U23" s="91"/>
    </row>
    <row r="24" spans="1:26" ht="12">
      <c r="U24" s="91"/>
    </row>
    <row r="25" spans="1:26" ht="12">
      <c r="U25" s="91"/>
    </row>
    <row r="26" spans="1:26" ht="12">
      <c r="U26" s="91"/>
    </row>
    <row r="27" spans="1:26" ht="12">
      <c r="U27" s="91"/>
    </row>
    <row r="28" spans="1:26" ht="12">
      <c r="U28" s="91"/>
    </row>
    <row r="29" spans="1:26" ht="12">
      <c r="U29" s="91"/>
    </row>
  </sheetData>
  <protectedRanges>
    <protectedRange password="CC78" sqref="V17:IK18 C5:D7 B21:C21 V5:W9 A17:A22 B17:B20 B22 V13:W13 Q5:T7 E5:I6 D18 N5:P6 L5 L21 J6:K7 L7 A24:T57 U30:U57 N17:S17 V24:IK57 J17:L17 A58:IK65325 AF13:IK13 V12:IK12 D12 Q10:S11 W10:W11 AF5:IK11 A10:B12" name="Range1"/>
    <protectedRange password="CC78" sqref="F7:H7" name="Range1_4"/>
    <protectedRange password="CC78" sqref="V21:IK22 S21:T22 N21:Q22 E21:I22" name="Range1_1_1"/>
    <protectedRange password="CC78" sqref="U1 W1:IK3 V4:IK4 B4:T4 R2:S3 B1:Q3 U17:U29 X13:AE13 U4:U13 X5:AE11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AF14:IK16 Q14:S16 W14:W16 A14:B16" name="Range1_5"/>
    <protectedRange password="CC78" sqref="X14:AE16 U14:U16" name="Range1_2_3"/>
    <protectedRange password="CC78" sqref="V14:V16" name="Range1_1_3"/>
    <protectedRange password="CC78" sqref="K10:K11 K14:K16" name="Range1_6"/>
    <protectedRange password="CC78" sqref="A2:A3" name="Range1_2_1_3"/>
    <protectedRange password="CC78" sqref="E12:T12" name="Range1_3"/>
    <protectedRange password="CC78" sqref="E18:T18" name="Range1_7"/>
    <protectedRange password="CC78" sqref="U2" name="Range1_2_2_1_1"/>
  </protectedRanges>
  <autoFilter ref="A7:AE10"/>
  <mergeCells count="22">
    <mergeCell ref="N5:P5"/>
    <mergeCell ref="Q5:Q7"/>
    <mergeCell ref="K6:K7"/>
    <mergeCell ref="N6:N7"/>
    <mergeCell ref="O6:O7"/>
    <mergeCell ref="P6:P7"/>
    <mergeCell ref="J6:J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F16" sqref="F16:AJ21"/>
      <selection pane="topRight" activeCell="F16" sqref="F16:AJ21"/>
      <selection pane="bottomLeft" activeCell="F16" sqref="F16:AJ21"/>
      <selection pane="bottomRight" activeCell="B14" sqref="B14:B1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82" customWidth="1"/>
    <col min="5" max="5" width="7.140625" style="2" customWidth="1"/>
    <col min="6" max="33" width="3.42578125" style="110" customWidth="1"/>
    <col min="34" max="36" width="3.42578125" style="111" customWidth="1"/>
    <col min="37" max="38" width="4.42578125" style="2" customWidth="1"/>
    <col min="39" max="39" width="5.5703125" style="8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6"/>
      <c r="B1" s="41"/>
      <c r="C1" s="41"/>
      <c r="D1" s="45"/>
      <c r="E1" s="41"/>
      <c r="F1" s="45"/>
      <c r="G1" s="45"/>
      <c r="H1" s="45"/>
      <c r="I1" s="45"/>
      <c r="J1" s="45"/>
      <c r="K1" s="106"/>
      <c r="L1" s="106"/>
      <c r="M1" s="106"/>
      <c r="N1" s="106"/>
      <c r="O1" s="106"/>
      <c r="P1" s="106"/>
      <c r="Q1" s="106"/>
      <c r="R1" s="106"/>
      <c r="S1" s="43" t="str">
        <f>CONCATENATE("BẢNG CHẤM CÔNG THÁNG ",TEXT($E$4,"mm")," NĂM ",TEXT($E$4,"yyyy"))</f>
        <v>BẢNG CHẤM CÔNG THÁNG 07 NĂM 2017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42"/>
      <c r="AL1" s="42"/>
      <c r="AM1" s="259" t="s">
        <v>79</v>
      </c>
      <c r="AN1" s="260"/>
      <c r="AO1" s="260"/>
      <c r="AP1" s="260"/>
      <c r="AQ1" s="260"/>
      <c r="AR1" s="260"/>
      <c r="AS1" s="261"/>
      <c r="AT1" s="44"/>
    </row>
    <row r="2" spans="1:91" ht="20.25">
      <c r="A2" s="126"/>
      <c r="B2" s="45"/>
      <c r="C2" s="45"/>
      <c r="D2" s="45"/>
      <c r="E2" s="45"/>
      <c r="F2" s="45"/>
      <c r="G2" s="45"/>
      <c r="H2" s="45"/>
      <c r="I2" s="45"/>
      <c r="J2" s="45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42"/>
      <c r="AL2" s="42"/>
      <c r="AM2" s="83"/>
      <c r="AN2" s="46"/>
      <c r="AO2" s="46"/>
      <c r="AP2" s="46"/>
      <c r="AQ2" s="46"/>
      <c r="AR2" s="46"/>
      <c r="AS2" s="82"/>
      <c r="AT2" s="82"/>
    </row>
    <row r="3" spans="1:91" ht="21" customHeight="1">
      <c r="A3" s="126"/>
      <c r="B3" s="47"/>
      <c r="C3" s="47"/>
      <c r="D3" s="48"/>
      <c r="E3" s="48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42"/>
      <c r="AL3" s="42"/>
      <c r="AM3" s="83"/>
      <c r="AN3" s="44"/>
      <c r="AO3" s="44"/>
      <c r="AP3" s="44"/>
      <c r="AQ3" s="44"/>
      <c r="AR3" s="44"/>
      <c r="AS3" s="49"/>
      <c r="AT3" s="49"/>
    </row>
    <row r="4" spans="1:91" ht="14.25" customHeight="1">
      <c r="A4" s="50"/>
      <c r="B4" s="50"/>
      <c r="C4" s="142"/>
      <c r="D4" s="141"/>
      <c r="E4" s="51">
        <v>42917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3"/>
      <c r="AI4" s="53"/>
      <c r="AJ4" s="53"/>
      <c r="AK4" s="50"/>
      <c r="AL4" s="50"/>
      <c r="AM4" s="84"/>
      <c r="AN4" s="50"/>
      <c r="AO4" s="50"/>
      <c r="AP4" s="50"/>
      <c r="AQ4" s="50"/>
      <c r="AR4" s="50"/>
      <c r="AS4" s="50"/>
      <c r="AT4" s="88"/>
    </row>
    <row r="5" spans="1:91" s="54" customFormat="1" ht="18.75" customHeight="1">
      <c r="A5" s="256" t="s">
        <v>26</v>
      </c>
      <c r="B5" s="256" t="s">
        <v>3</v>
      </c>
      <c r="C5" s="256" t="s">
        <v>1</v>
      </c>
      <c r="D5" s="258" t="s">
        <v>27</v>
      </c>
      <c r="E5" s="256" t="s">
        <v>28</v>
      </c>
      <c r="F5" s="105">
        <f>+E4</f>
        <v>42917</v>
      </c>
      <c r="G5" s="105">
        <f t="shared" ref="G5:AJ5" si="0">F5+1</f>
        <v>42918</v>
      </c>
      <c r="H5" s="105">
        <f t="shared" si="0"/>
        <v>42919</v>
      </c>
      <c r="I5" s="105">
        <f t="shared" si="0"/>
        <v>42920</v>
      </c>
      <c r="J5" s="105">
        <f t="shared" si="0"/>
        <v>42921</v>
      </c>
      <c r="K5" s="105">
        <f t="shared" si="0"/>
        <v>42922</v>
      </c>
      <c r="L5" s="105">
        <f t="shared" si="0"/>
        <v>42923</v>
      </c>
      <c r="M5" s="105">
        <f t="shared" si="0"/>
        <v>42924</v>
      </c>
      <c r="N5" s="105">
        <f t="shared" si="0"/>
        <v>42925</v>
      </c>
      <c r="O5" s="105">
        <f t="shared" si="0"/>
        <v>42926</v>
      </c>
      <c r="P5" s="105">
        <f t="shared" si="0"/>
        <v>42927</v>
      </c>
      <c r="Q5" s="105">
        <f t="shared" si="0"/>
        <v>42928</v>
      </c>
      <c r="R5" s="105">
        <f t="shared" si="0"/>
        <v>42929</v>
      </c>
      <c r="S5" s="105">
        <f t="shared" si="0"/>
        <v>42930</v>
      </c>
      <c r="T5" s="105">
        <f t="shared" si="0"/>
        <v>42931</v>
      </c>
      <c r="U5" s="105">
        <f t="shared" si="0"/>
        <v>42932</v>
      </c>
      <c r="V5" s="105">
        <f t="shared" si="0"/>
        <v>42933</v>
      </c>
      <c r="W5" s="105">
        <f t="shared" si="0"/>
        <v>42934</v>
      </c>
      <c r="X5" s="105">
        <f t="shared" si="0"/>
        <v>42935</v>
      </c>
      <c r="Y5" s="105">
        <f t="shared" si="0"/>
        <v>42936</v>
      </c>
      <c r="Z5" s="105">
        <f t="shared" si="0"/>
        <v>42937</v>
      </c>
      <c r="AA5" s="105">
        <f t="shared" si="0"/>
        <v>42938</v>
      </c>
      <c r="AB5" s="105">
        <f t="shared" si="0"/>
        <v>42939</v>
      </c>
      <c r="AC5" s="105">
        <f t="shared" si="0"/>
        <v>42940</v>
      </c>
      <c r="AD5" s="105">
        <f t="shared" si="0"/>
        <v>42941</v>
      </c>
      <c r="AE5" s="105">
        <f t="shared" si="0"/>
        <v>42942</v>
      </c>
      <c r="AF5" s="105">
        <f t="shared" si="0"/>
        <v>42943</v>
      </c>
      <c r="AG5" s="105">
        <f t="shared" si="0"/>
        <v>42944</v>
      </c>
      <c r="AH5" s="105">
        <f>AG5+1</f>
        <v>42945</v>
      </c>
      <c r="AI5" s="105">
        <f t="shared" si="0"/>
        <v>42946</v>
      </c>
      <c r="AJ5" s="105">
        <f t="shared" si="0"/>
        <v>42947</v>
      </c>
      <c r="AK5" s="262" t="s">
        <v>15</v>
      </c>
      <c r="AL5" s="263"/>
      <c r="AM5" s="264"/>
      <c r="AN5" s="265" t="s">
        <v>39</v>
      </c>
      <c r="AO5" s="265" t="s">
        <v>35</v>
      </c>
      <c r="AP5" s="265" t="s">
        <v>36</v>
      </c>
      <c r="AQ5" s="265" t="s">
        <v>37</v>
      </c>
      <c r="AR5" s="265" t="s">
        <v>38</v>
      </c>
      <c r="AS5" s="258" t="s">
        <v>0</v>
      </c>
      <c r="AT5" s="25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4" customFormat="1" ht="39.75" customHeight="1">
      <c r="A6" s="257"/>
      <c r="B6" s="257"/>
      <c r="C6" s="257"/>
      <c r="D6" s="257"/>
      <c r="E6" s="257"/>
      <c r="F6" s="160" t="str">
        <f>CHOOSE(WEEKDAY(F5),"C.Nhật","T.Hai","T.Ba","T.Tư","T.Năm","T.Sáu","T.Bảy")</f>
        <v>T.Bảy</v>
      </c>
      <c r="G6" s="160" t="str">
        <f t="shared" ref="G6:AJ6" si="1">CHOOSE(WEEKDAY(G5),"C.Nhật","T.Hai","T.Ba","T.Tư","T.Năm","T.Sáu","T.Bảy")</f>
        <v>C.Nhật</v>
      </c>
      <c r="H6" s="160" t="str">
        <f t="shared" si="1"/>
        <v>T.Hai</v>
      </c>
      <c r="I6" s="160" t="str">
        <f t="shared" si="1"/>
        <v>T.Ba</v>
      </c>
      <c r="J6" s="160" t="str">
        <f t="shared" si="1"/>
        <v>T.Tư</v>
      </c>
      <c r="K6" s="160" t="str">
        <f t="shared" si="1"/>
        <v>T.Năm</v>
      </c>
      <c r="L6" s="160" t="str">
        <f t="shared" si="1"/>
        <v>T.Sáu</v>
      </c>
      <c r="M6" s="160" t="str">
        <f t="shared" si="1"/>
        <v>T.Bảy</v>
      </c>
      <c r="N6" s="160" t="str">
        <f t="shared" si="1"/>
        <v>C.Nhật</v>
      </c>
      <c r="O6" s="160" t="str">
        <f t="shared" si="1"/>
        <v>T.Hai</v>
      </c>
      <c r="P6" s="160" t="str">
        <f t="shared" si="1"/>
        <v>T.Ba</v>
      </c>
      <c r="Q6" s="160" t="str">
        <f t="shared" si="1"/>
        <v>T.Tư</v>
      </c>
      <c r="R6" s="160" t="str">
        <f t="shared" si="1"/>
        <v>T.Năm</v>
      </c>
      <c r="S6" s="160" t="str">
        <f t="shared" si="1"/>
        <v>T.Sáu</v>
      </c>
      <c r="T6" s="160" t="str">
        <f t="shared" si="1"/>
        <v>T.Bảy</v>
      </c>
      <c r="U6" s="160" t="str">
        <f t="shared" si="1"/>
        <v>C.Nhật</v>
      </c>
      <c r="V6" s="160" t="str">
        <f t="shared" si="1"/>
        <v>T.Hai</v>
      </c>
      <c r="W6" s="160" t="str">
        <f t="shared" si="1"/>
        <v>T.Ba</v>
      </c>
      <c r="X6" s="160" t="str">
        <f t="shared" si="1"/>
        <v>T.Tư</v>
      </c>
      <c r="Y6" s="160" t="str">
        <f t="shared" si="1"/>
        <v>T.Năm</v>
      </c>
      <c r="Z6" s="160" t="str">
        <f t="shared" si="1"/>
        <v>T.Sáu</v>
      </c>
      <c r="AA6" s="160" t="str">
        <f t="shared" si="1"/>
        <v>T.Bảy</v>
      </c>
      <c r="AB6" s="160" t="str">
        <f t="shared" si="1"/>
        <v>C.Nhật</v>
      </c>
      <c r="AC6" s="160" t="str">
        <f t="shared" si="1"/>
        <v>T.Hai</v>
      </c>
      <c r="AD6" s="160" t="str">
        <f t="shared" si="1"/>
        <v>T.Ba</v>
      </c>
      <c r="AE6" s="160" t="str">
        <f t="shared" si="1"/>
        <v>T.Tư</v>
      </c>
      <c r="AF6" s="160" t="str">
        <f t="shared" si="1"/>
        <v>T.Năm</v>
      </c>
      <c r="AG6" s="160" t="str">
        <f t="shared" si="1"/>
        <v>T.Sáu</v>
      </c>
      <c r="AH6" s="160" t="str">
        <f t="shared" si="1"/>
        <v>T.Bảy</v>
      </c>
      <c r="AI6" s="160" t="str">
        <f t="shared" si="1"/>
        <v>C.Nhật</v>
      </c>
      <c r="AJ6" s="160" t="str">
        <f t="shared" si="1"/>
        <v>T.Hai</v>
      </c>
      <c r="AK6" s="161" t="s">
        <v>16</v>
      </c>
      <c r="AL6" s="161" t="s">
        <v>29</v>
      </c>
      <c r="AM6" s="162" t="s">
        <v>17</v>
      </c>
      <c r="AN6" s="266"/>
      <c r="AO6" s="266"/>
      <c r="AP6" s="266"/>
      <c r="AQ6" s="266"/>
      <c r="AR6" s="266"/>
      <c r="AS6" s="257"/>
      <c r="AT6" s="25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4" customFormat="1" ht="12.75" customHeight="1">
      <c r="A7" s="163">
        <v>1</v>
      </c>
      <c r="B7" s="163">
        <v>1</v>
      </c>
      <c r="C7" s="163">
        <v>2</v>
      </c>
      <c r="D7" s="163">
        <v>3</v>
      </c>
      <c r="E7" s="163">
        <v>4</v>
      </c>
      <c r="F7" s="163">
        <v>5</v>
      </c>
      <c r="G7" s="163">
        <v>6</v>
      </c>
      <c r="H7" s="163">
        <v>7</v>
      </c>
      <c r="I7" s="163">
        <v>8</v>
      </c>
      <c r="J7" s="163">
        <v>9</v>
      </c>
      <c r="K7" s="163">
        <v>10</v>
      </c>
      <c r="L7" s="163">
        <v>11</v>
      </c>
      <c r="M7" s="163">
        <v>12</v>
      </c>
      <c r="N7" s="163">
        <v>13</v>
      </c>
      <c r="O7" s="163">
        <v>14</v>
      </c>
      <c r="P7" s="163">
        <v>15</v>
      </c>
      <c r="Q7" s="163">
        <v>16</v>
      </c>
      <c r="R7" s="163">
        <v>17</v>
      </c>
      <c r="S7" s="163">
        <v>18</v>
      </c>
      <c r="T7" s="163">
        <v>19</v>
      </c>
      <c r="U7" s="163">
        <v>20</v>
      </c>
      <c r="V7" s="163">
        <v>21</v>
      </c>
      <c r="W7" s="163">
        <v>22</v>
      </c>
      <c r="X7" s="163">
        <v>23</v>
      </c>
      <c r="Y7" s="163">
        <v>24</v>
      </c>
      <c r="Z7" s="163">
        <v>25</v>
      </c>
      <c r="AA7" s="163">
        <v>26</v>
      </c>
      <c r="AB7" s="163">
        <v>27</v>
      </c>
      <c r="AC7" s="163">
        <v>28</v>
      </c>
      <c r="AD7" s="163">
        <v>29</v>
      </c>
      <c r="AE7" s="163">
        <v>30</v>
      </c>
      <c r="AF7" s="163">
        <v>31</v>
      </c>
      <c r="AG7" s="163">
        <v>32</v>
      </c>
      <c r="AH7" s="163">
        <v>33</v>
      </c>
      <c r="AI7" s="163">
        <v>34</v>
      </c>
      <c r="AJ7" s="163">
        <v>35</v>
      </c>
      <c r="AK7" s="163">
        <v>36</v>
      </c>
      <c r="AL7" s="163">
        <v>37</v>
      </c>
      <c r="AM7" s="163">
        <v>38</v>
      </c>
      <c r="AN7" s="163">
        <v>39</v>
      </c>
      <c r="AO7" s="163">
        <v>40</v>
      </c>
      <c r="AP7" s="163">
        <v>41</v>
      </c>
      <c r="AQ7" s="163">
        <v>42</v>
      </c>
      <c r="AR7" s="163">
        <v>43</v>
      </c>
      <c r="AS7" s="163">
        <v>44</v>
      </c>
      <c r="AT7" s="184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6" customFormat="1" ht="21" customHeight="1">
      <c r="A8" s="164" t="s">
        <v>68</v>
      </c>
      <c r="B8" s="167" t="s">
        <v>80</v>
      </c>
      <c r="C8" s="168"/>
      <c r="D8" s="168"/>
      <c r="E8" s="168"/>
      <c r="F8" s="168"/>
      <c r="G8" s="168"/>
      <c r="H8" s="168"/>
      <c r="I8" s="168"/>
      <c r="J8" s="168"/>
      <c r="K8" s="168"/>
      <c r="L8" s="168"/>
      <c r="M8" s="168"/>
      <c r="N8" s="168"/>
      <c r="O8" s="168"/>
      <c r="P8" s="168"/>
      <c r="Q8" s="168"/>
      <c r="R8" s="168"/>
      <c r="S8" s="168"/>
      <c r="T8" s="168"/>
      <c r="U8" s="168"/>
      <c r="V8" s="168"/>
      <c r="W8" s="168"/>
      <c r="X8" s="168"/>
      <c r="Y8" s="168"/>
      <c r="Z8" s="168"/>
      <c r="AA8" s="168"/>
      <c r="AB8" s="168"/>
      <c r="AC8" s="168"/>
      <c r="AD8" s="168"/>
      <c r="AE8" s="168"/>
      <c r="AF8" s="168"/>
      <c r="AG8" s="168"/>
      <c r="AH8" s="168"/>
      <c r="AI8" s="168"/>
      <c r="AJ8" s="168"/>
      <c r="AK8" s="168"/>
      <c r="AL8" s="168"/>
      <c r="AM8" s="168"/>
      <c r="AN8" s="168"/>
      <c r="AO8" s="168"/>
      <c r="AP8" s="168"/>
      <c r="AQ8" s="168"/>
      <c r="AR8" s="168"/>
      <c r="AS8" s="169"/>
      <c r="AT8" s="165"/>
    </row>
    <row r="9" spans="1:91" s="54" customFormat="1" ht="18" customHeight="1">
      <c r="A9" s="249">
        <v>1</v>
      </c>
      <c r="B9" s="249" t="s">
        <v>74</v>
      </c>
      <c r="C9" s="251" t="str">
        <f>VLOOKUP(B9,DS,2,0)</f>
        <v>Nguyễn Thị Kim Quyên</v>
      </c>
      <c r="D9" s="253" t="str">
        <f>VLOOKUP(B9,DS,3,0)</f>
        <v>Văn Phòng</v>
      </c>
      <c r="E9" s="55" t="s">
        <v>30</v>
      </c>
      <c r="F9" s="130">
        <v>8</v>
      </c>
      <c r="G9" s="130"/>
      <c r="H9" s="130">
        <v>8</v>
      </c>
      <c r="I9" s="130">
        <v>8</v>
      </c>
      <c r="J9" s="130">
        <v>8</v>
      </c>
      <c r="K9" s="130">
        <v>8</v>
      </c>
      <c r="L9" s="130">
        <v>8</v>
      </c>
      <c r="M9" s="130">
        <v>8</v>
      </c>
      <c r="N9" s="130"/>
      <c r="O9" s="130">
        <v>8</v>
      </c>
      <c r="P9" s="130">
        <v>8</v>
      </c>
      <c r="Q9" s="130">
        <v>8</v>
      </c>
      <c r="R9" s="130">
        <v>8</v>
      </c>
      <c r="S9" s="130">
        <v>8</v>
      </c>
      <c r="T9" s="130">
        <v>8</v>
      </c>
      <c r="U9" s="130"/>
      <c r="V9" s="130">
        <v>8</v>
      </c>
      <c r="W9" s="130">
        <v>8</v>
      </c>
      <c r="X9" s="130">
        <v>8</v>
      </c>
      <c r="Y9" s="130">
        <v>8</v>
      </c>
      <c r="Z9" s="130">
        <v>8</v>
      </c>
      <c r="AA9" s="130">
        <v>8</v>
      </c>
      <c r="AB9" s="130"/>
      <c r="AC9" s="130">
        <v>8</v>
      </c>
      <c r="AD9" s="130">
        <v>8</v>
      </c>
      <c r="AE9" s="130">
        <v>8</v>
      </c>
      <c r="AF9" s="130">
        <v>8</v>
      </c>
      <c r="AG9" s="130">
        <v>8</v>
      </c>
      <c r="AH9" s="130">
        <v>8</v>
      </c>
      <c r="AI9" s="130"/>
      <c r="AJ9" s="130">
        <v>8</v>
      </c>
      <c r="AK9" s="245">
        <f>((SUM(F9:AJ9))/8)-(SUMIF($F$6:$AJ$6,"C.Nhật",F9:AJ9)/8)</f>
        <v>26</v>
      </c>
      <c r="AL9" s="245">
        <f>SUM(F10:AJ10)/8*1.5</f>
        <v>0</v>
      </c>
      <c r="AM9" s="247">
        <f>SUMIF($F$6:$AJ$6,"C.Nhật",$F9:$AJ10)/8*2</f>
        <v>0</v>
      </c>
      <c r="AN9" s="241">
        <f>SUM(AK9:AM10)</f>
        <v>26</v>
      </c>
      <c r="AO9" s="243">
        <v>0</v>
      </c>
      <c r="AP9" s="241"/>
      <c r="AQ9" s="241"/>
      <c r="AR9" s="241"/>
      <c r="AS9" s="239"/>
      <c r="AT9" s="184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4" customFormat="1" ht="18" customHeight="1">
      <c r="A10" s="250"/>
      <c r="B10" s="250"/>
      <c r="C10" s="252"/>
      <c r="D10" s="254"/>
      <c r="E10" s="56" t="s">
        <v>29</v>
      </c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131"/>
      <c r="AK10" s="246"/>
      <c r="AL10" s="246"/>
      <c r="AM10" s="248"/>
      <c r="AN10" s="242"/>
      <c r="AO10" s="244"/>
      <c r="AP10" s="242"/>
      <c r="AQ10" s="242"/>
      <c r="AR10" s="242"/>
      <c r="AS10" s="240"/>
      <c r="AT10" s="184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66" customFormat="1" ht="21" customHeight="1">
      <c r="A11" s="164" t="s">
        <v>69</v>
      </c>
      <c r="B11" s="167" t="s">
        <v>73</v>
      </c>
      <c r="C11" s="168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  <c r="P11" s="168"/>
      <c r="Q11" s="168"/>
      <c r="R11" s="168"/>
      <c r="S11" s="168"/>
      <c r="T11" s="168"/>
      <c r="U11" s="168"/>
      <c r="V11" s="168"/>
      <c r="W11" s="168"/>
      <c r="X11" s="168"/>
      <c r="Y11" s="168"/>
      <c r="Z11" s="168"/>
      <c r="AA11" s="168"/>
      <c r="AB11" s="168"/>
      <c r="AC11" s="168"/>
      <c r="AD11" s="168"/>
      <c r="AE11" s="168"/>
      <c r="AF11" s="168"/>
      <c r="AG11" s="168"/>
      <c r="AH11" s="168"/>
      <c r="AI11" s="168"/>
      <c r="AJ11" s="168"/>
      <c r="AK11" s="168"/>
      <c r="AL11" s="168"/>
      <c r="AM11" s="168"/>
      <c r="AN11" s="168"/>
      <c r="AO11" s="168"/>
      <c r="AP11" s="168"/>
      <c r="AQ11" s="168"/>
      <c r="AR11" s="168"/>
      <c r="AS11" s="169"/>
      <c r="AT11" s="165"/>
    </row>
    <row r="12" spans="1:91" s="54" customFormat="1" ht="18" customHeight="1">
      <c r="A12" s="249">
        <v>1</v>
      </c>
      <c r="B12" s="249" t="s">
        <v>75</v>
      </c>
      <c r="C12" s="251" t="str">
        <f>VLOOKUP(B12,DS,2,0)</f>
        <v>Lê Văn Hữu</v>
      </c>
      <c r="D12" s="253" t="str">
        <f>VLOOKUP(B12,DS,3,0)</f>
        <v>Công Đoạn 1</v>
      </c>
      <c r="E12" s="55" t="s">
        <v>30</v>
      </c>
      <c r="F12" s="130">
        <v>8</v>
      </c>
      <c r="G12" s="130"/>
      <c r="H12" s="130">
        <v>8</v>
      </c>
      <c r="I12" s="130">
        <v>8</v>
      </c>
      <c r="J12" s="130">
        <v>8</v>
      </c>
      <c r="K12" s="130">
        <v>8</v>
      </c>
      <c r="L12" s="130">
        <v>8</v>
      </c>
      <c r="M12" s="130">
        <v>8</v>
      </c>
      <c r="N12" s="130"/>
      <c r="O12" s="130">
        <v>8</v>
      </c>
      <c r="P12" s="130">
        <v>8</v>
      </c>
      <c r="Q12" s="130">
        <v>8</v>
      </c>
      <c r="R12" s="130">
        <v>8</v>
      </c>
      <c r="S12" s="130">
        <v>8</v>
      </c>
      <c r="T12" s="130">
        <v>8</v>
      </c>
      <c r="U12" s="130"/>
      <c r="V12" s="130">
        <v>8</v>
      </c>
      <c r="W12" s="130">
        <v>8</v>
      </c>
      <c r="X12" s="130">
        <v>8</v>
      </c>
      <c r="Y12" s="130">
        <v>8</v>
      </c>
      <c r="Z12" s="130">
        <v>8</v>
      </c>
      <c r="AA12" s="130">
        <v>8</v>
      </c>
      <c r="AB12" s="130"/>
      <c r="AC12" s="130">
        <v>8</v>
      </c>
      <c r="AD12" s="130">
        <v>8</v>
      </c>
      <c r="AE12" s="130">
        <v>8</v>
      </c>
      <c r="AF12" s="130">
        <v>8</v>
      </c>
      <c r="AG12" s="130">
        <v>8</v>
      </c>
      <c r="AH12" s="130">
        <v>8</v>
      </c>
      <c r="AI12" s="130"/>
      <c r="AJ12" s="130">
        <v>8</v>
      </c>
      <c r="AK12" s="245">
        <f t="shared" ref="AK12" si="2">((SUM(F12:AJ12))/8)-(SUMIF($F$6:$AJ$6,"C.Nhật",F12:AJ12)/8)</f>
        <v>26</v>
      </c>
      <c r="AL12" s="245">
        <f t="shared" ref="AL12" si="3">SUM(F13:AJ13)/8*1.5</f>
        <v>0</v>
      </c>
      <c r="AM12" s="247">
        <f>SUMIF($F$6:$AJ$6,"C.Nhật",$F12:$AJ13)/8*2</f>
        <v>0</v>
      </c>
      <c r="AN12" s="241">
        <f>SUM(AK12:AM13)</f>
        <v>26</v>
      </c>
      <c r="AO12" s="243">
        <v>0</v>
      </c>
      <c r="AP12" s="241"/>
      <c r="AQ12" s="241"/>
      <c r="AR12" s="241"/>
      <c r="AS12" s="239"/>
      <c r="AT12" s="205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54" customFormat="1" ht="18" customHeight="1">
      <c r="A13" s="250"/>
      <c r="B13" s="250"/>
      <c r="C13" s="252"/>
      <c r="D13" s="254"/>
      <c r="E13" s="56" t="s">
        <v>29</v>
      </c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  <c r="AH13" s="131"/>
      <c r="AI13" s="131"/>
      <c r="AJ13" s="131"/>
      <c r="AK13" s="246"/>
      <c r="AL13" s="246"/>
      <c r="AM13" s="248"/>
      <c r="AN13" s="242"/>
      <c r="AO13" s="244"/>
      <c r="AP13" s="242"/>
      <c r="AQ13" s="242"/>
      <c r="AR13" s="242"/>
      <c r="AS13" s="240"/>
      <c r="AT13" s="205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54" customFormat="1" ht="18" customHeight="1">
      <c r="A14" s="249">
        <v>2</v>
      </c>
      <c r="B14" s="249" t="s">
        <v>76</v>
      </c>
      <c r="C14" s="251" t="str">
        <f>VLOOKUP(B14,DS,2,0)</f>
        <v>Lý Thanh Hải</v>
      </c>
      <c r="D14" s="253" t="str">
        <f>VLOOKUP(B14,DS,3,0)</f>
        <v>Công Đoạn 1</v>
      </c>
      <c r="E14" s="55" t="s">
        <v>30</v>
      </c>
      <c r="F14" s="130">
        <v>8</v>
      </c>
      <c r="G14" s="130"/>
      <c r="H14" s="130">
        <v>8</v>
      </c>
      <c r="I14" s="130">
        <v>8</v>
      </c>
      <c r="J14" s="130">
        <v>8</v>
      </c>
      <c r="K14" s="130">
        <v>8</v>
      </c>
      <c r="L14" s="130">
        <v>8</v>
      </c>
      <c r="M14" s="130">
        <v>8</v>
      </c>
      <c r="N14" s="130"/>
      <c r="O14" s="130">
        <v>8</v>
      </c>
      <c r="P14" s="130">
        <v>8</v>
      </c>
      <c r="Q14" s="130">
        <v>8</v>
      </c>
      <c r="R14" s="130">
        <v>8</v>
      </c>
      <c r="S14" s="130">
        <v>8</v>
      </c>
      <c r="T14" s="130">
        <v>8</v>
      </c>
      <c r="U14" s="130"/>
      <c r="V14" s="130">
        <v>8</v>
      </c>
      <c r="W14" s="130">
        <v>8</v>
      </c>
      <c r="X14" s="130">
        <v>8</v>
      </c>
      <c r="Y14" s="130">
        <v>8</v>
      </c>
      <c r="Z14" s="130">
        <v>8</v>
      </c>
      <c r="AA14" s="130">
        <v>8</v>
      </c>
      <c r="AB14" s="130"/>
      <c r="AC14" s="130">
        <v>8</v>
      </c>
      <c r="AD14" s="130">
        <v>8</v>
      </c>
      <c r="AE14" s="130">
        <v>8</v>
      </c>
      <c r="AF14" s="130">
        <v>8</v>
      </c>
      <c r="AG14" s="130">
        <v>8</v>
      </c>
      <c r="AH14" s="130">
        <v>8</v>
      </c>
      <c r="AI14" s="130"/>
      <c r="AJ14" s="130">
        <v>8</v>
      </c>
      <c r="AK14" s="245">
        <f t="shared" ref="AK14" si="4">((SUM(F14:AJ14))/8)-(SUMIF($F$6:$AJ$6,"C.Nhật",F14:AJ14)/8)</f>
        <v>26</v>
      </c>
      <c r="AL14" s="245">
        <f t="shared" ref="AL14" si="5">SUM(F15:AJ15)/8*1.5</f>
        <v>0</v>
      </c>
      <c r="AM14" s="247">
        <f>SUMIF($F$6:$AJ$6,"C.Nhật",$F14:$AJ15)/8*2</f>
        <v>0</v>
      </c>
      <c r="AN14" s="241">
        <f t="shared" ref="AN14" si="6">SUM(AK14:AM15)</f>
        <v>26</v>
      </c>
      <c r="AO14" s="243">
        <v>0</v>
      </c>
      <c r="AP14" s="241"/>
      <c r="AQ14" s="241"/>
      <c r="AR14" s="241"/>
      <c r="AS14" s="239"/>
      <c r="AT14" s="21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4" customFormat="1" ht="18" customHeight="1">
      <c r="A15" s="250"/>
      <c r="B15" s="250"/>
      <c r="C15" s="252"/>
      <c r="D15" s="254"/>
      <c r="E15" s="56" t="s">
        <v>29</v>
      </c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31"/>
      <c r="AK15" s="246"/>
      <c r="AL15" s="246"/>
      <c r="AM15" s="248"/>
      <c r="AN15" s="242"/>
      <c r="AO15" s="244"/>
      <c r="AP15" s="242"/>
      <c r="AQ15" s="242"/>
      <c r="AR15" s="242"/>
      <c r="AS15" s="240"/>
      <c r="AT15" s="21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4" customFormat="1" ht="18" customHeight="1">
      <c r="A16" s="249">
        <v>3</v>
      </c>
      <c r="B16" s="249" t="s">
        <v>77</v>
      </c>
      <c r="C16" s="251" t="str">
        <f>VLOOKUP(B16,DS,2,0)</f>
        <v>Cao Minh Chí</v>
      </c>
      <c r="D16" s="253" t="str">
        <f>VLOOKUP(B16,DS,3,0)</f>
        <v>Công Đoạn 2</v>
      </c>
      <c r="E16" s="55" t="s">
        <v>30</v>
      </c>
      <c r="F16" s="130">
        <v>8</v>
      </c>
      <c r="G16" s="130"/>
      <c r="H16" s="130">
        <v>8</v>
      </c>
      <c r="I16" s="130">
        <v>8</v>
      </c>
      <c r="J16" s="130">
        <v>8</v>
      </c>
      <c r="K16" s="130">
        <v>8</v>
      </c>
      <c r="L16" s="130">
        <v>8</v>
      </c>
      <c r="M16" s="130">
        <v>8</v>
      </c>
      <c r="N16" s="130"/>
      <c r="O16" s="130">
        <v>8</v>
      </c>
      <c r="P16" s="130">
        <v>8</v>
      </c>
      <c r="Q16" s="130">
        <v>8</v>
      </c>
      <c r="R16" s="130">
        <v>8</v>
      </c>
      <c r="S16" s="130">
        <v>8</v>
      </c>
      <c r="T16" s="130">
        <v>8</v>
      </c>
      <c r="U16" s="130"/>
      <c r="V16" s="130">
        <v>8</v>
      </c>
      <c r="W16" s="130">
        <v>8</v>
      </c>
      <c r="X16" s="130">
        <v>8</v>
      </c>
      <c r="Y16" s="130">
        <v>8</v>
      </c>
      <c r="Z16" s="130">
        <v>8</v>
      </c>
      <c r="AA16" s="130">
        <v>8</v>
      </c>
      <c r="AB16" s="130"/>
      <c r="AC16" s="130">
        <v>8</v>
      </c>
      <c r="AD16" s="130">
        <v>8</v>
      </c>
      <c r="AE16" s="130">
        <v>8</v>
      </c>
      <c r="AF16" s="130">
        <v>8</v>
      </c>
      <c r="AG16" s="130">
        <v>8</v>
      </c>
      <c r="AH16" s="130">
        <v>8</v>
      </c>
      <c r="AI16" s="130"/>
      <c r="AJ16" s="130">
        <v>8</v>
      </c>
      <c r="AK16" s="245">
        <f t="shared" ref="AK16" si="7">((SUM(F16:AJ16))/8)-(SUMIF($F$6:$AJ$6,"C.Nhật",F16:AJ16)/8)</f>
        <v>26</v>
      </c>
      <c r="AL16" s="245">
        <f t="shared" ref="AL16" si="8">SUM(F17:AJ17)/8*1.5</f>
        <v>0</v>
      </c>
      <c r="AM16" s="247">
        <f>SUMIF($F$6:$AJ$6,"C.Nhật",$F16:$AJ17)/8*2</f>
        <v>0</v>
      </c>
      <c r="AN16" s="241">
        <f t="shared" ref="AN16" si="9">SUM(AK16:AM17)</f>
        <v>26</v>
      </c>
      <c r="AO16" s="243">
        <v>0</v>
      </c>
      <c r="AP16" s="241"/>
      <c r="AQ16" s="241"/>
      <c r="AR16" s="241"/>
      <c r="AS16" s="239"/>
      <c r="AT16" s="21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4" customFormat="1" ht="18" customHeight="1">
      <c r="A17" s="250"/>
      <c r="B17" s="250"/>
      <c r="C17" s="252"/>
      <c r="D17" s="254"/>
      <c r="E17" s="56" t="s">
        <v>29</v>
      </c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31"/>
      <c r="AK17" s="246"/>
      <c r="AL17" s="246"/>
      <c r="AM17" s="248"/>
      <c r="AN17" s="242"/>
      <c r="AO17" s="244"/>
      <c r="AP17" s="242"/>
      <c r="AQ17" s="242"/>
      <c r="AR17" s="242"/>
      <c r="AS17" s="240"/>
      <c r="AT17" s="21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7" customFormat="1" ht="12.75">
      <c r="A18" s="14"/>
      <c r="B18" s="58"/>
      <c r="C18" s="4"/>
      <c r="D18" s="100"/>
      <c r="E18" s="4"/>
      <c r="F18" s="62"/>
      <c r="G18" s="62"/>
      <c r="H18" s="59"/>
      <c r="I18" s="59"/>
      <c r="J18" s="107"/>
      <c r="K18" s="62"/>
      <c r="L18" s="59"/>
      <c r="M18" s="62"/>
      <c r="N18" s="62"/>
      <c r="O18" s="62"/>
      <c r="P18" s="62"/>
      <c r="Q18" s="59"/>
      <c r="R18" s="62"/>
      <c r="S18" s="62"/>
      <c r="T18" s="107"/>
      <c r="U18" s="62"/>
      <c r="V18" s="62"/>
      <c r="W18" s="62"/>
      <c r="X18" s="58"/>
      <c r="Y18" s="62"/>
      <c r="Z18" s="62"/>
      <c r="AA18" s="62"/>
      <c r="AB18" s="62"/>
      <c r="AC18" s="62"/>
      <c r="AD18" s="59"/>
      <c r="AE18" s="62"/>
      <c r="AF18" s="62"/>
      <c r="AG18" s="62"/>
      <c r="AH18" s="62"/>
      <c r="AI18" s="62"/>
      <c r="AJ18" s="62"/>
      <c r="AK18" s="4"/>
      <c r="AL18" s="4"/>
      <c r="AM18" s="85"/>
      <c r="AN18" s="61"/>
      <c r="AO18" s="61"/>
      <c r="AP18" s="61"/>
      <c r="AQ18" s="61"/>
      <c r="AR18" s="61"/>
      <c r="AS18" s="4"/>
      <c r="AT18" s="91"/>
    </row>
    <row r="19" spans="1:90" s="57" customFormat="1" ht="12.75">
      <c r="A19" s="14"/>
      <c r="B19" s="58"/>
      <c r="C19" s="14" t="s">
        <v>14</v>
      </c>
      <c r="D19" s="100"/>
      <c r="E19" s="4"/>
      <c r="F19" s="62"/>
      <c r="G19" s="62"/>
      <c r="H19" s="59"/>
      <c r="I19" s="59"/>
      <c r="J19" s="107"/>
      <c r="K19" s="62"/>
      <c r="L19" s="59"/>
      <c r="M19" s="62"/>
      <c r="N19" s="62"/>
      <c r="O19" s="62"/>
      <c r="P19" s="62"/>
      <c r="Q19" s="59"/>
      <c r="R19" s="62"/>
      <c r="S19" s="62"/>
      <c r="T19" s="107"/>
      <c r="U19" s="62"/>
      <c r="V19" s="62"/>
      <c r="W19" s="62"/>
      <c r="X19" s="58"/>
      <c r="Y19" s="62"/>
      <c r="Z19" s="62"/>
      <c r="AA19" s="62"/>
      <c r="AB19" s="62"/>
      <c r="AC19" s="62"/>
      <c r="AD19" s="59"/>
      <c r="AE19" s="62"/>
      <c r="AF19" s="62"/>
      <c r="AG19" s="62"/>
      <c r="AH19" s="62"/>
      <c r="AI19" s="62"/>
      <c r="AJ19" s="62"/>
      <c r="AK19" s="4"/>
      <c r="AL19" s="4"/>
      <c r="AM19" s="85"/>
      <c r="AN19" s="61"/>
      <c r="AO19" s="61"/>
      <c r="AP19" s="61"/>
      <c r="AQ19" s="61"/>
      <c r="AR19" s="61"/>
      <c r="AS19" s="4"/>
      <c r="AT19" s="91"/>
    </row>
    <row r="20" spans="1:90" s="57" customFormat="1" ht="12.75">
      <c r="A20" s="12"/>
      <c r="B20" s="12"/>
      <c r="C20" s="4"/>
      <c r="D20" s="100"/>
      <c r="E20" s="4"/>
      <c r="F20" s="62"/>
      <c r="G20" s="62"/>
      <c r="H20" s="108"/>
      <c r="I20" s="108"/>
      <c r="J20" s="108"/>
      <c r="K20" s="62"/>
      <c r="L20" s="108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108"/>
      <c r="AE20" s="62"/>
      <c r="AF20" s="62"/>
      <c r="AG20" s="62"/>
      <c r="AH20" s="62"/>
      <c r="AI20" s="62"/>
      <c r="AJ20" s="62"/>
      <c r="AK20" s="4"/>
      <c r="AL20" s="4"/>
      <c r="AM20" s="85"/>
      <c r="AN20" s="63"/>
      <c r="AO20" s="63"/>
      <c r="AP20" s="63"/>
      <c r="AQ20" s="63"/>
      <c r="AR20" s="63"/>
      <c r="AS20" s="4"/>
      <c r="AT20" s="91"/>
    </row>
    <row r="21" spans="1:90" s="60" customFormat="1" ht="15" customHeight="1">
      <c r="A21" s="12"/>
      <c r="B21" s="12"/>
      <c r="C21" s="4"/>
      <c r="D21" s="100"/>
      <c r="E21" s="4"/>
      <c r="F21" s="62"/>
      <c r="G21" s="62"/>
      <c r="H21" s="108"/>
      <c r="I21" s="108"/>
      <c r="J21" s="108"/>
      <c r="K21" s="62"/>
      <c r="L21" s="108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108"/>
      <c r="AE21" s="62"/>
      <c r="AF21" s="62"/>
      <c r="AG21" s="62"/>
      <c r="AH21" s="62"/>
      <c r="AI21" s="62"/>
      <c r="AJ21" s="62"/>
      <c r="AK21" s="4"/>
      <c r="AL21" s="4"/>
      <c r="AM21" s="85"/>
      <c r="AN21" s="63"/>
      <c r="AO21" s="63"/>
      <c r="AP21" s="63"/>
      <c r="AQ21" s="63"/>
      <c r="AR21" s="63"/>
      <c r="AS21" s="4"/>
      <c r="AT21" s="4"/>
    </row>
    <row r="22" spans="1:90" s="60" customFormat="1" ht="11.25">
      <c r="A22" s="12"/>
      <c r="B22" s="12"/>
      <c r="C22" s="4"/>
      <c r="D22" s="100"/>
      <c r="E22" s="4"/>
      <c r="F22" s="62"/>
      <c r="G22" s="62"/>
      <c r="H22" s="108"/>
      <c r="I22" s="108"/>
      <c r="J22" s="108"/>
      <c r="K22" s="62"/>
      <c r="L22" s="108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108"/>
      <c r="AE22" s="62"/>
      <c r="AF22" s="62"/>
      <c r="AG22" s="62"/>
      <c r="AH22" s="62"/>
      <c r="AI22" s="62"/>
      <c r="AJ22" s="62"/>
      <c r="AK22" s="4"/>
      <c r="AL22" s="4"/>
      <c r="AM22" s="85"/>
      <c r="AN22" s="63"/>
      <c r="AO22" s="63"/>
      <c r="AP22" s="63"/>
      <c r="AQ22" s="63"/>
      <c r="AR22" s="63"/>
      <c r="AS22" s="4"/>
      <c r="AT22" s="4"/>
    </row>
    <row r="23" spans="1:90" s="60" customFormat="1" ht="11.25">
      <c r="A23" s="12"/>
      <c r="B23" s="12"/>
      <c r="C23" s="4"/>
      <c r="D23" s="100"/>
      <c r="E23" s="4"/>
      <c r="F23" s="62"/>
      <c r="G23" s="62"/>
      <c r="H23" s="108"/>
      <c r="I23" s="108"/>
      <c r="J23" s="108"/>
      <c r="K23" s="62"/>
      <c r="L23" s="108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108"/>
      <c r="AE23" s="62"/>
      <c r="AF23" s="62"/>
      <c r="AG23" s="62"/>
      <c r="AH23" s="62"/>
      <c r="AI23" s="62"/>
      <c r="AJ23" s="62"/>
      <c r="AK23" s="4"/>
      <c r="AL23" s="4"/>
      <c r="AM23" s="85"/>
      <c r="AN23" s="63"/>
      <c r="AO23" s="63"/>
      <c r="AP23" s="63"/>
      <c r="AQ23" s="63"/>
      <c r="AR23" s="63"/>
      <c r="AS23" s="4"/>
      <c r="AT23" s="4"/>
    </row>
    <row r="24" spans="1:90" s="60" customFormat="1" ht="11.25">
      <c r="A24" s="10"/>
      <c r="B24" s="10"/>
      <c r="C24" s="14"/>
      <c r="D24" s="101"/>
      <c r="E24" s="64"/>
      <c r="F24" s="107"/>
      <c r="G24" s="109"/>
      <c r="H24" s="59"/>
      <c r="I24" s="59"/>
      <c r="J24" s="59"/>
      <c r="K24" s="109"/>
      <c r="L24" s="59"/>
      <c r="M24" s="109"/>
      <c r="N24" s="109"/>
      <c r="O24" s="109"/>
      <c r="P24" s="109"/>
      <c r="Q24" s="59"/>
      <c r="R24" s="107"/>
      <c r="S24" s="109"/>
      <c r="T24" s="109"/>
      <c r="U24" s="59"/>
      <c r="V24" s="109"/>
      <c r="W24" s="109"/>
      <c r="X24" s="59"/>
      <c r="Y24" s="109"/>
      <c r="Z24" s="109"/>
      <c r="AA24" s="109"/>
      <c r="AB24" s="109"/>
      <c r="AC24" s="109"/>
      <c r="AD24" s="59"/>
      <c r="AE24" s="109"/>
      <c r="AF24" s="109"/>
      <c r="AG24" s="109"/>
      <c r="AH24" s="109"/>
      <c r="AI24" s="109"/>
      <c r="AJ24" s="109"/>
      <c r="AK24" s="64"/>
      <c r="AM24" s="86"/>
      <c r="AN24" s="10"/>
      <c r="AO24" s="10"/>
      <c r="AP24" s="10"/>
      <c r="AQ24" s="10"/>
      <c r="AR24" s="10"/>
      <c r="AS24" s="14"/>
      <c r="AT24" s="4"/>
    </row>
    <row r="25" spans="1:90" s="60" customFormat="1" ht="12.75">
      <c r="A25" s="2"/>
      <c r="B25" s="2" t="s">
        <v>0</v>
      </c>
      <c r="C25" s="2"/>
      <c r="D25" s="182"/>
      <c r="E25" s="2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1"/>
      <c r="AI25" s="111"/>
      <c r="AJ25" s="111"/>
      <c r="AK25" s="2"/>
      <c r="AL25" s="2"/>
      <c r="AM25" s="87"/>
      <c r="AN25" s="2"/>
      <c r="AO25" s="2"/>
      <c r="AP25" s="2"/>
      <c r="AQ25" s="2"/>
      <c r="AR25" s="2"/>
      <c r="AS25" s="2"/>
      <c r="AT25" s="4"/>
    </row>
    <row r="26" spans="1:90" s="60" customFormat="1" ht="12.75">
      <c r="A26" s="2"/>
      <c r="B26" s="2"/>
      <c r="C26" s="2" t="s">
        <v>40</v>
      </c>
      <c r="D26" s="182"/>
      <c r="E26" s="2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1"/>
      <c r="AI26" s="111"/>
      <c r="AJ26" s="111"/>
      <c r="AK26" s="2"/>
      <c r="AL26" s="2"/>
      <c r="AM26" s="87"/>
      <c r="AN26" s="2"/>
      <c r="AO26" s="2"/>
      <c r="AP26" s="2"/>
      <c r="AQ26" s="2"/>
      <c r="AR26" s="2"/>
      <c r="AS26" s="2"/>
      <c r="AT26" s="14"/>
    </row>
    <row r="27" spans="1:90" ht="15" customHeight="1">
      <c r="C27" s="2" t="s">
        <v>41</v>
      </c>
    </row>
    <row r="28" spans="1:90" ht="15" customHeight="1">
      <c r="C28" s="2" t="s">
        <v>42</v>
      </c>
    </row>
    <row r="29" spans="1:90" ht="15" customHeight="1">
      <c r="C29" s="2" t="s">
        <v>43</v>
      </c>
    </row>
    <row r="30" spans="1:90" ht="15" customHeight="1">
      <c r="C30" s="2" t="s">
        <v>44</v>
      </c>
    </row>
    <row r="31" spans="1:90" ht="15" customHeight="1">
      <c r="C31" s="2" t="s">
        <v>45</v>
      </c>
    </row>
    <row r="32" spans="1:90" ht="15" customHeight="1">
      <c r="C32" s="2" t="s">
        <v>46</v>
      </c>
    </row>
    <row r="33" spans="3:3" ht="15" customHeight="1">
      <c r="C33" s="2" t="s">
        <v>47</v>
      </c>
    </row>
    <row r="34" spans="3:3" ht="15" customHeight="1">
      <c r="C34" s="2" t="s">
        <v>48</v>
      </c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20:J23 Q18:Q19" name="Range1_1_1_1"/>
    <protectedRange password="CC78" sqref="J24" name="Range1_3_1_1"/>
    <protectedRange password="CC78" sqref="A12:A17" name="Range1_1_2"/>
    <protectedRange password="CC78" sqref="A12:A17 C12:E17" name="Range1_6_2"/>
    <protectedRange password="CC78" sqref="B12:B17" name="Range1_4_2"/>
  </protectedRanges>
  <mergeCells count="66">
    <mergeCell ref="AO14:AO15"/>
    <mergeCell ref="AP14:AP15"/>
    <mergeCell ref="AQ14:AQ15"/>
    <mergeCell ref="AR14:AR15"/>
    <mergeCell ref="AS14:AS15"/>
    <mergeCell ref="AP16:AP17"/>
    <mergeCell ref="AQ16:AQ17"/>
    <mergeCell ref="AR16:AR17"/>
    <mergeCell ref="AS16:AS17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L14:AL15"/>
    <mergeCell ref="AM14:AM15"/>
    <mergeCell ref="AN14:AN15"/>
    <mergeCell ref="A12:A13"/>
    <mergeCell ref="B12:B13"/>
    <mergeCell ref="C12:C13"/>
    <mergeCell ref="D12:D13"/>
    <mergeCell ref="AK12:AK13"/>
    <mergeCell ref="AL12:AL13"/>
    <mergeCell ref="AM12:AM13"/>
    <mergeCell ref="AN12:AN13"/>
    <mergeCell ref="A14:A15"/>
    <mergeCell ref="B14:B15"/>
    <mergeCell ref="C14:C15"/>
    <mergeCell ref="D14:D15"/>
    <mergeCell ref="AK14:AK15"/>
    <mergeCell ref="AQ12:AQ13"/>
    <mergeCell ref="AR12:AR13"/>
    <mergeCell ref="AS12:AS13"/>
    <mergeCell ref="AO12:AO13"/>
    <mergeCell ref="AP12:AP13"/>
  </mergeCells>
  <conditionalFormatting sqref="F5:AJ6 F9:AJ10 F12:AJ17">
    <cfRule type="expression" dxfId="41" priority="41" stopIfTrue="1">
      <formula>IF(WEEKDAY(F$5)=1,TRUE,FALSE)</formula>
    </cfRule>
  </conditionalFormatting>
  <conditionalFormatting sqref="F9:AJ10">
    <cfRule type="expression" dxfId="40" priority="40" stopIfTrue="1">
      <formula>IF(WEEKDAY(F$5)=1,TRUE,FALSE)</formula>
    </cfRule>
  </conditionalFormatting>
  <conditionalFormatting sqref="F12:AJ17">
    <cfRule type="expression" dxfId="39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29"/>
  <sheetViews>
    <sheetView zoomScaleNormal="70" workbookViewId="0">
      <pane xSplit="3" ySplit="8" topLeftCell="G13" activePane="bottomRight" state="frozen"/>
      <selection activeCell="F16" sqref="F16:AJ21"/>
      <selection pane="topRight" activeCell="F16" sqref="F16:AJ21"/>
      <selection pane="bottomLeft" activeCell="F16" sqref="F16:AJ21"/>
      <selection pane="bottomRight" activeCell="B15" sqref="B15:B16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78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26"/>
      <c r="B1" s="186"/>
      <c r="C1" s="186"/>
      <c r="D1" s="273" t="str">
        <f>"BẢNG THANH TOÁN LƯƠNG THÁNG"&amp;" "&amp;TEXT($E$4,"mm")&amp;" / "&amp;TEXT($E$4,"yyyy")</f>
        <v>BẢNG THANH TOÁN LƯƠNG THÁNG 07 / 2017</v>
      </c>
      <c r="E1" s="273"/>
      <c r="F1" s="273"/>
      <c r="G1" s="273"/>
      <c r="H1" s="273"/>
      <c r="I1" s="273"/>
      <c r="J1" s="273"/>
      <c r="K1" s="273"/>
      <c r="L1" s="273"/>
      <c r="M1" s="273"/>
      <c r="N1" s="273"/>
      <c r="O1" s="273"/>
      <c r="P1" s="273"/>
      <c r="Q1" s="274"/>
      <c r="R1" s="275" t="s">
        <v>79</v>
      </c>
      <c r="S1" s="276"/>
      <c r="T1" s="277"/>
      <c r="U1" s="117" t="s">
        <v>51</v>
      </c>
      <c r="V1" s="97" t="s">
        <v>33</v>
      </c>
      <c r="W1" s="70"/>
      <c r="X1" s="70"/>
      <c r="Y1" s="5"/>
      <c r="Z1" s="5"/>
    </row>
    <row r="2" spans="1:31" s="4" customFormat="1" ht="15" customHeight="1">
      <c r="A2" s="126"/>
      <c r="B2" s="186"/>
      <c r="C2" s="186"/>
      <c r="D2" s="186"/>
      <c r="E2" s="68"/>
      <c r="F2" s="186"/>
      <c r="G2" s="186"/>
      <c r="H2" s="186"/>
      <c r="I2" s="186"/>
      <c r="J2" s="69"/>
      <c r="K2" s="186"/>
      <c r="L2" s="186"/>
      <c r="M2" s="186"/>
      <c r="N2" s="186"/>
      <c r="O2" s="186"/>
      <c r="P2" s="186"/>
      <c r="Q2" s="186"/>
      <c r="R2" s="186"/>
      <c r="S2" s="186"/>
      <c r="T2" s="46"/>
      <c r="U2" s="67">
        <f>MAX(F10:F18)</f>
        <v>26</v>
      </c>
      <c r="V2" s="98">
        <v>31</v>
      </c>
      <c r="W2" s="70"/>
      <c r="X2" s="70"/>
      <c r="Y2" s="5"/>
      <c r="Z2" s="5"/>
    </row>
    <row r="3" spans="1:31" s="4" customFormat="1" ht="15" customHeight="1">
      <c r="A3" s="126"/>
      <c r="B3" s="186"/>
      <c r="C3" s="186"/>
      <c r="D3" s="186"/>
      <c r="E3" s="68"/>
      <c r="F3" s="186"/>
      <c r="G3" s="186"/>
      <c r="H3" s="186"/>
      <c r="I3" s="186"/>
      <c r="J3" s="69"/>
      <c r="K3" s="186"/>
      <c r="L3" s="186"/>
      <c r="M3" s="186"/>
      <c r="N3" s="186"/>
      <c r="O3" s="186"/>
      <c r="P3" s="186"/>
      <c r="Q3" s="186"/>
      <c r="R3" s="186"/>
      <c r="S3" s="186"/>
      <c r="T3" s="46"/>
      <c r="U3" s="118"/>
      <c r="V3" s="119"/>
      <c r="W3" s="70"/>
      <c r="X3" s="70"/>
      <c r="Y3" s="5"/>
      <c r="Z3" s="5"/>
    </row>
    <row r="4" spans="1:31" s="92" customFormat="1" ht="14.25" customHeight="1">
      <c r="A4" s="90"/>
      <c r="B4" s="91"/>
      <c r="C4" s="91"/>
      <c r="D4" s="91"/>
      <c r="E4" s="175">
        <f>'CC -7'!$E$4</f>
        <v>42917</v>
      </c>
      <c r="F4" s="91"/>
      <c r="G4" s="91"/>
      <c r="H4" s="91"/>
      <c r="I4" s="91"/>
      <c r="J4" s="91"/>
      <c r="K4" s="91"/>
      <c r="L4" s="91"/>
      <c r="M4" s="91"/>
      <c r="N4" s="148">
        <v>0.08</v>
      </c>
      <c r="O4" s="148">
        <v>1.4999999999999999E-2</v>
      </c>
      <c r="P4" s="148">
        <v>0.01</v>
      </c>
      <c r="Q4" s="91"/>
      <c r="R4" s="91"/>
      <c r="S4" s="91"/>
      <c r="T4" s="91"/>
      <c r="U4" s="91"/>
      <c r="V4" s="93"/>
      <c r="W4" s="93"/>
      <c r="X4" s="93"/>
      <c r="Y4" s="93"/>
      <c r="Z4" s="93"/>
    </row>
    <row r="5" spans="1:31" s="21" customFormat="1" ht="24" customHeight="1">
      <c r="A5" s="278" t="s">
        <v>19</v>
      </c>
      <c r="B5" s="278" t="s">
        <v>20</v>
      </c>
      <c r="C5" s="232" t="s">
        <v>1</v>
      </c>
      <c r="D5" s="232" t="s">
        <v>2</v>
      </c>
      <c r="E5" s="235" t="s">
        <v>49</v>
      </c>
      <c r="F5" s="280" t="s">
        <v>24</v>
      </c>
      <c r="G5" s="281"/>
      <c r="H5" s="281"/>
      <c r="I5" s="281"/>
      <c r="J5" s="281"/>
      <c r="K5" s="282"/>
      <c r="L5" s="269" t="s">
        <v>50</v>
      </c>
      <c r="M5" s="269" t="s">
        <v>5</v>
      </c>
      <c r="N5" s="232" t="s">
        <v>6</v>
      </c>
      <c r="O5" s="232"/>
      <c r="P5" s="232"/>
      <c r="Q5" s="269" t="s">
        <v>7</v>
      </c>
      <c r="R5" s="269" t="s">
        <v>8</v>
      </c>
      <c r="S5" s="269" t="s">
        <v>9</v>
      </c>
      <c r="T5" s="233" t="s">
        <v>10</v>
      </c>
      <c r="U5" s="91"/>
      <c r="V5" s="22"/>
      <c r="W5" s="22"/>
      <c r="X5" s="5"/>
      <c r="Y5" s="5"/>
      <c r="Z5" s="5"/>
      <c r="AA5" s="4"/>
      <c r="AB5" s="4"/>
      <c r="AC5" s="4"/>
      <c r="AD5" s="4"/>
      <c r="AE5" s="4"/>
    </row>
    <row r="6" spans="1:31" s="21" customFormat="1" ht="33.75" customHeight="1">
      <c r="A6" s="279"/>
      <c r="B6" s="279"/>
      <c r="C6" s="232"/>
      <c r="D6" s="232"/>
      <c r="E6" s="235"/>
      <c r="F6" s="280" t="s">
        <v>52</v>
      </c>
      <c r="G6" s="282"/>
      <c r="H6" s="280" t="s">
        <v>71</v>
      </c>
      <c r="I6" s="281"/>
      <c r="J6" s="267" t="s">
        <v>25</v>
      </c>
      <c r="K6" s="269" t="s">
        <v>4</v>
      </c>
      <c r="L6" s="270"/>
      <c r="M6" s="270"/>
      <c r="N6" s="271" t="s">
        <v>12</v>
      </c>
      <c r="O6" s="269" t="s">
        <v>13</v>
      </c>
      <c r="P6" s="269" t="s">
        <v>31</v>
      </c>
      <c r="Q6" s="270"/>
      <c r="R6" s="270"/>
      <c r="S6" s="270"/>
      <c r="T6" s="234"/>
      <c r="U6" s="91"/>
      <c r="V6" s="22"/>
      <c r="W6" s="22"/>
      <c r="X6" s="5"/>
      <c r="Y6" s="5"/>
      <c r="Z6" s="5"/>
      <c r="AA6" s="4"/>
      <c r="AB6" s="4"/>
      <c r="AC6" s="4"/>
      <c r="AD6" s="4"/>
      <c r="AE6" s="4"/>
    </row>
    <row r="7" spans="1:31" s="21" customFormat="1" ht="35.25" customHeight="1">
      <c r="A7" s="279"/>
      <c r="B7" s="279"/>
      <c r="C7" s="269"/>
      <c r="D7" s="269"/>
      <c r="E7" s="235"/>
      <c r="F7" s="185" t="s">
        <v>34</v>
      </c>
      <c r="G7" s="183" t="s">
        <v>18</v>
      </c>
      <c r="H7" s="185" t="s">
        <v>34</v>
      </c>
      <c r="I7" s="115" t="s">
        <v>18</v>
      </c>
      <c r="J7" s="268"/>
      <c r="K7" s="270"/>
      <c r="L7" s="283"/>
      <c r="M7" s="283"/>
      <c r="N7" s="272"/>
      <c r="O7" s="270"/>
      <c r="P7" s="270"/>
      <c r="Q7" s="270"/>
      <c r="R7" s="270"/>
      <c r="S7" s="270"/>
      <c r="T7" s="234"/>
      <c r="U7" s="91"/>
      <c r="V7" s="22"/>
      <c r="W7" s="22"/>
      <c r="X7" s="5"/>
      <c r="Y7" s="5"/>
      <c r="Z7" s="5"/>
      <c r="AA7" s="4"/>
      <c r="AB7" s="4"/>
      <c r="AC7" s="4"/>
      <c r="AD7" s="4"/>
      <c r="AE7" s="4"/>
    </row>
    <row r="8" spans="1:31" s="72" customFormat="1" ht="12.75" customHeight="1">
      <c r="A8" s="71">
        <v>1</v>
      </c>
      <c r="B8" s="71">
        <v>1</v>
      </c>
      <c r="C8" s="71">
        <v>2</v>
      </c>
      <c r="D8" s="71">
        <v>3</v>
      </c>
      <c r="E8" s="71">
        <v>4</v>
      </c>
      <c r="F8" s="71">
        <v>5</v>
      </c>
      <c r="G8" s="71">
        <v>6</v>
      </c>
      <c r="H8" s="71">
        <v>7</v>
      </c>
      <c r="I8" s="71">
        <v>8</v>
      </c>
      <c r="J8" s="71">
        <v>9</v>
      </c>
      <c r="K8" s="71">
        <v>10</v>
      </c>
      <c r="L8" s="71">
        <v>11</v>
      </c>
      <c r="M8" s="71">
        <v>12</v>
      </c>
      <c r="N8" s="71">
        <v>13</v>
      </c>
      <c r="O8" s="71">
        <v>14</v>
      </c>
      <c r="P8" s="71">
        <v>15</v>
      </c>
      <c r="Q8" s="71">
        <v>16</v>
      </c>
      <c r="R8" s="71">
        <v>17</v>
      </c>
      <c r="S8" s="71">
        <v>18</v>
      </c>
      <c r="T8" s="71">
        <v>19</v>
      </c>
      <c r="U8" s="91"/>
      <c r="V8" s="73"/>
      <c r="W8" s="73"/>
      <c r="X8" s="74"/>
      <c r="Y8" s="74"/>
      <c r="Z8" s="74"/>
      <c r="AA8" s="75"/>
      <c r="AB8" s="75"/>
      <c r="AC8" s="75"/>
      <c r="AD8" s="75"/>
      <c r="AE8" s="75"/>
    </row>
    <row r="9" spans="1:31" s="72" customFormat="1" ht="24" customHeight="1">
      <c r="A9" s="174" t="s">
        <v>68</v>
      </c>
      <c r="B9" s="173" t="s">
        <v>80</v>
      </c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2"/>
      <c r="Q9" s="172"/>
      <c r="R9" s="172"/>
      <c r="S9" s="172"/>
      <c r="T9" s="172"/>
      <c r="U9" s="91"/>
      <c r="V9" s="73"/>
      <c r="W9" s="73"/>
      <c r="X9" s="74"/>
      <c r="Y9" s="74"/>
      <c r="Z9" s="74"/>
      <c r="AA9" s="75"/>
      <c r="AB9" s="75"/>
      <c r="AC9" s="75"/>
      <c r="AD9" s="75"/>
      <c r="AE9" s="75"/>
    </row>
    <row r="10" spans="1:31" s="29" customFormat="1" ht="24" customHeight="1">
      <c r="A10" s="31">
        <v>1</v>
      </c>
      <c r="B10" s="128" t="s">
        <v>74</v>
      </c>
      <c r="C10" s="76" t="str">
        <f t="shared" ref="C10" si="0">VLOOKUP(B10,DS,2,0)</f>
        <v>Nguyễn Thị Kim Quyên</v>
      </c>
      <c r="D10" s="103" t="str">
        <f t="shared" ref="D10" si="1">VLOOKUP(B10,DS,3,0)</f>
        <v>Văn Phòng</v>
      </c>
      <c r="E10" s="77">
        <f t="shared" ref="E10" si="2">VLOOKUP(B10,DS,4,0)</f>
        <v>4000000</v>
      </c>
      <c r="F10" s="79">
        <f>VLOOKUP(B10,'CC -7'!$B$8:$AS$17,36,0)</f>
        <v>26</v>
      </c>
      <c r="G10" s="132">
        <f t="shared" ref="G10" si="3">ROUND(E10/$U$2*F10,0)</f>
        <v>4000000</v>
      </c>
      <c r="H10" s="79">
        <f>(VLOOKUP(B10,'CC -7'!$B$8:$AS$17,37,0)+VLOOKUP(B10,'CC -7'!$B$8:$AS$17,38,0))</f>
        <v>0</v>
      </c>
      <c r="I10" s="132">
        <f t="shared" ref="I10" si="4">ROUND(E10/$U$2*H10,0)</f>
        <v>0</v>
      </c>
      <c r="J10" s="80">
        <f t="shared" ref="J10" si="5">F10+H10</f>
        <v>26</v>
      </c>
      <c r="K10" s="32">
        <f>G10+I10</f>
        <v>4000000</v>
      </c>
      <c r="L10" s="77">
        <f t="shared" ref="L10" si="6">+F10*15000</f>
        <v>390000</v>
      </c>
      <c r="M10" s="33">
        <f t="shared" ref="M10" si="7">K10+L10</f>
        <v>4390000</v>
      </c>
      <c r="N10" s="33">
        <f>IF(VLOOKUP($B10,DS,21,0)="x",$E10*N$4,0)</f>
        <v>0</v>
      </c>
      <c r="O10" s="33">
        <f>IF(VLOOKUP($B10,DS,21,0)="x",$E10*O$4,0)</f>
        <v>0</v>
      </c>
      <c r="P10" s="33">
        <f>IF(VLOOKUP($B10,DS,21,0)="x",$E10*P$4,0)</f>
        <v>0</v>
      </c>
      <c r="Q10" s="32">
        <f t="shared" ref="Q10" si="8">M10-SUM(N10:P10)</f>
        <v>4390000</v>
      </c>
      <c r="R10" s="32">
        <f>VLOOKUP(B10,DS,23,0)</f>
        <v>0</v>
      </c>
      <c r="S10" s="38">
        <f t="shared" ref="S10" si="9">Q10-R10</f>
        <v>4390000</v>
      </c>
      <c r="T10" s="32"/>
      <c r="U10" s="91"/>
      <c r="V10" s="30"/>
      <c r="W10" s="22"/>
      <c r="X10" s="5"/>
      <c r="Y10" s="5"/>
      <c r="Z10" s="5"/>
      <c r="AA10" s="4"/>
      <c r="AB10" s="4"/>
      <c r="AC10" s="4"/>
      <c r="AD10" s="4"/>
      <c r="AE10" s="4"/>
    </row>
    <row r="11" spans="1:31" s="29" customFormat="1" ht="24" customHeight="1">
      <c r="A11" s="187"/>
      <c r="B11" s="188"/>
      <c r="C11" s="189"/>
      <c r="D11" s="190"/>
      <c r="E11" s="191"/>
      <c r="F11" s="192"/>
      <c r="G11" s="193"/>
      <c r="H11" s="192"/>
      <c r="I11" s="193"/>
      <c r="J11" s="194"/>
      <c r="K11" s="195"/>
      <c r="L11" s="191"/>
      <c r="M11" s="196"/>
      <c r="N11" s="196"/>
      <c r="O11" s="196"/>
      <c r="P11" s="196"/>
      <c r="Q11" s="195"/>
      <c r="R11" s="195"/>
      <c r="S11" s="197"/>
      <c r="T11" s="195"/>
      <c r="U11" s="91"/>
      <c r="V11" s="30"/>
      <c r="W11" s="22"/>
      <c r="X11" s="5"/>
      <c r="Y11" s="5"/>
      <c r="Z11" s="5"/>
      <c r="AA11" s="4"/>
      <c r="AB11" s="4"/>
      <c r="AC11" s="4"/>
      <c r="AD11" s="4"/>
      <c r="AE11" s="4"/>
    </row>
    <row r="12" spans="1:31" s="25" customFormat="1" ht="21" customHeight="1">
      <c r="A12" s="221" t="s">
        <v>23</v>
      </c>
      <c r="B12" s="222"/>
      <c r="C12" s="222"/>
      <c r="D12" s="223"/>
      <c r="E12" s="127">
        <f>SUM(E9:E10)</f>
        <v>4000000</v>
      </c>
      <c r="F12" s="127"/>
      <c r="G12" s="127">
        <f>SUM(G9:G10)</f>
        <v>4000000</v>
      </c>
      <c r="H12" s="127"/>
      <c r="I12" s="127">
        <f>SUM(I9:I10)</f>
        <v>0</v>
      </c>
      <c r="J12" s="127"/>
      <c r="K12" s="127">
        <f t="shared" ref="K12:S12" si="10">SUM(K9:K10)</f>
        <v>4000000</v>
      </c>
      <c r="L12" s="127">
        <f t="shared" si="10"/>
        <v>390000</v>
      </c>
      <c r="M12" s="127">
        <f t="shared" si="10"/>
        <v>4390000</v>
      </c>
      <c r="N12" s="127">
        <f t="shared" si="10"/>
        <v>0</v>
      </c>
      <c r="O12" s="127">
        <f t="shared" si="10"/>
        <v>0</v>
      </c>
      <c r="P12" s="127">
        <f t="shared" si="10"/>
        <v>0</v>
      </c>
      <c r="Q12" s="127">
        <f t="shared" si="10"/>
        <v>4390000</v>
      </c>
      <c r="R12" s="127">
        <f t="shared" si="10"/>
        <v>0</v>
      </c>
      <c r="S12" s="127">
        <f t="shared" si="10"/>
        <v>4390000</v>
      </c>
      <c r="T12" s="20"/>
      <c r="U12" s="91"/>
      <c r="V12" s="26"/>
      <c r="W12" s="26"/>
      <c r="X12" s="26"/>
      <c r="Y12" s="26"/>
      <c r="Z12" s="26"/>
    </row>
    <row r="13" spans="1:31" s="72" customFormat="1" ht="24" customHeight="1">
      <c r="A13" s="174" t="s">
        <v>69</v>
      </c>
      <c r="B13" s="173" t="s">
        <v>70</v>
      </c>
      <c r="C13" s="172"/>
      <c r="D13" s="172"/>
      <c r="E13" s="172"/>
      <c r="F13" s="172"/>
      <c r="G13" s="172"/>
      <c r="H13" s="172"/>
      <c r="I13" s="172"/>
      <c r="J13" s="172"/>
      <c r="K13" s="172"/>
      <c r="L13" s="172"/>
      <c r="M13" s="172"/>
      <c r="N13" s="172"/>
      <c r="O13" s="172"/>
      <c r="P13" s="172"/>
      <c r="Q13" s="172"/>
      <c r="R13" s="172"/>
      <c r="S13" s="172"/>
      <c r="T13" s="172"/>
      <c r="U13" s="91"/>
      <c r="V13" s="73"/>
      <c r="W13" s="73"/>
      <c r="X13" s="74"/>
      <c r="Y13" s="74"/>
      <c r="Z13" s="74"/>
      <c r="AA13" s="75"/>
      <c r="AB13" s="75"/>
      <c r="AC13" s="75"/>
      <c r="AD13" s="75"/>
      <c r="AE13" s="75"/>
    </row>
    <row r="14" spans="1:31" s="29" customFormat="1" ht="24" customHeight="1">
      <c r="A14" s="31">
        <v>1</v>
      </c>
      <c r="B14" s="128" t="s">
        <v>75</v>
      </c>
      <c r="C14" s="76" t="str">
        <f t="shared" ref="C14:C16" si="11">VLOOKUP(B14,DS,2,0)</f>
        <v>Lê Văn Hữu</v>
      </c>
      <c r="D14" s="103" t="str">
        <f t="shared" ref="D14:D16" si="12">VLOOKUP(B14,DS,3,0)</f>
        <v>Công Đoạn 1</v>
      </c>
      <c r="E14" s="77">
        <f t="shared" ref="E14:E16" si="13">VLOOKUP(B14,DS,4,0)</f>
        <v>3200000</v>
      </c>
      <c r="F14" s="79">
        <f>VLOOKUP(B14,'CC -7'!$B$8:$AS$17,36,0)</f>
        <v>26</v>
      </c>
      <c r="G14" s="132">
        <f t="shared" ref="G14:G16" si="14">ROUND(E14/$U$2*F14,0)</f>
        <v>3200000</v>
      </c>
      <c r="H14" s="79">
        <f>(VLOOKUP(B14,'CC -7'!$B$8:$AS$17,37,0)+VLOOKUP(B14,'CC -7'!$B$8:$AS$17,38,0))</f>
        <v>0</v>
      </c>
      <c r="I14" s="132">
        <f t="shared" ref="I14:I16" si="15">ROUND(E14/$U$2*H14,0)</f>
        <v>0</v>
      </c>
      <c r="J14" s="133">
        <f t="shared" ref="J14:K16" si="16">F14+H14</f>
        <v>26</v>
      </c>
      <c r="K14" s="32">
        <f t="shared" si="16"/>
        <v>3200000</v>
      </c>
      <c r="L14" s="77">
        <f t="shared" ref="L14:L16" si="17">+F14*15000</f>
        <v>390000</v>
      </c>
      <c r="M14" s="33">
        <f t="shared" ref="M14:M16" si="18">K14+L14</f>
        <v>3590000</v>
      </c>
      <c r="N14" s="33">
        <f t="shared" ref="N14:P16" si="19">IF(VLOOKUP($B14,DS,21,0)="x",$E14*N$4,0)</f>
        <v>0</v>
      </c>
      <c r="O14" s="33">
        <f t="shared" si="19"/>
        <v>0</v>
      </c>
      <c r="P14" s="33">
        <f t="shared" si="19"/>
        <v>0</v>
      </c>
      <c r="Q14" s="32">
        <f>M14-SUM(N14:P14)</f>
        <v>3590000</v>
      </c>
      <c r="R14" s="32">
        <f t="shared" ref="R14:R16" si="20">VLOOKUP(B14,DS,23,0)</f>
        <v>0</v>
      </c>
      <c r="S14" s="38">
        <f>Q14-R14</f>
        <v>3590000</v>
      </c>
      <c r="T14" s="32"/>
      <c r="U14" s="91"/>
      <c r="V14" s="30"/>
      <c r="W14" s="22"/>
      <c r="X14" s="5"/>
      <c r="Y14" s="5"/>
      <c r="Z14" s="5"/>
      <c r="AA14" s="4"/>
      <c r="AB14" s="4"/>
      <c r="AC14" s="4"/>
      <c r="AD14" s="4"/>
      <c r="AE14" s="4"/>
    </row>
    <row r="15" spans="1:31" s="29" customFormat="1" ht="24" customHeight="1">
      <c r="A15" s="31">
        <v>2</v>
      </c>
      <c r="B15" s="128" t="s">
        <v>76</v>
      </c>
      <c r="C15" s="76" t="str">
        <f t="shared" ref="C15" si="21">VLOOKUP(B15,DS,2,0)</f>
        <v>Lý Thanh Hải</v>
      </c>
      <c r="D15" s="103" t="str">
        <f t="shared" ref="D15" si="22">VLOOKUP(B15,DS,3,0)</f>
        <v>Công Đoạn 1</v>
      </c>
      <c r="E15" s="77">
        <f t="shared" ref="E15" si="23">VLOOKUP(B15,DS,4,0)</f>
        <v>5000000</v>
      </c>
      <c r="F15" s="79">
        <f>VLOOKUP(B15,'CC -7'!$B$8:$AS$17,36,0)</f>
        <v>26</v>
      </c>
      <c r="G15" s="132">
        <f t="shared" ref="G15" si="24">ROUND(E15/$U$2*F15,0)</f>
        <v>5000000</v>
      </c>
      <c r="H15" s="79">
        <f>(VLOOKUP(B15,'CC -7'!$B$8:$AS$17,37,0)+VLOOKUP(B15,'CC -7'!$B$8:$AS$17,38,0))</f>
        <v>0</v>
      </c>
      <c r="I15" s="132">
        <f t="shared" ref="I15" si="25">ROUND(E15/$U$2*H15,0)</f>
        <v>0</v>
      </c>
      <c r="J15" s="133">
        <f t="shared" ref="J15" si="26">F15+H15</f>
        <v>26</v>
      </c>
      <c r="K15" s="32">
        <f t="shared" ref="K15" si="27">G15+I15</f>
        <v>5000000</v>
      </c>
      <c r="L15" s="77">
        <f t="shared" ref="L15" si="28">+F15*15000</f>
        <v>390000</v>
      </c>
      <c r="M15" s="33">
        <f t="shared" ref="M15" si="29">K15+L15</f>
        <v>5390000</v>
      </c>
      <c r="N15" s="33">
        <f t="shared" si="19"/>
        <v>0</v>
      </c>
      <c r="O15" s="33">
        <f t="shared" si="19"/>
        <v>0</v>
      </c>
      <c r="P15" s="33">
        <f t="shared" si="19"/>
        <v>0</v>
      </c>
      <c r="Q15" s="32">
        <f t="shared" ref="Q15" si="30">M15-SUM(N15:P15)</f>
        <v>5390000</v>
      </c>
      <c r="R15" s="32">
        <f t="shared" ref="R15" si="31">VLOOKUP(B15,DS,23,0)</f>
        <v>0</v>
      </c>
      <c r="S15" s="38">
        <f t="shared" ref="S15" si="32">Q15-R15</f>
        <v>5390000</v>
      </c>
      <c r="T15" s="32"/>
      <c r="U15" s="91"/>
      <c r="V15" s="30"/>
      <c r="W15" s="22"/>
      <c r="X15" s="5"/>
      <c r="Y15" s="5"/>
      <c r="Z15" s="5"/>
      <c r="AA15" s="4"/>
      <c r="AB15" s="4"/>
      <c r="AC15" s="4"/>
      <c r="AD15" s="4"/>
      <c r="AE15" s="4"/>
    </row>
    <row r="16" spans="1:31" s="29" customFormat="1" ht="24" customHeight="1">
      <c r="A16" s="31">
        <v>3</v>
      </c>
      <c r="B16" s="128" t="s">
        <v>77</v>
      </c>
      <c r="C16" s="76" t="str">
        <f t="shared" si="11"/>
        <v>Cao Minh Chí</v>
      </c>
      <c r="D16" s="103" t="str">
        <f t="shared" si="12"/>
        <v>Công Đoạn 2</v>
      </c>
      <c r="E16" s="77">
        <f t="shared" si="13"/>
        <v>3200000</v>
      </c>
      <c r="F16" s="79">
        <f>VLOOKUP(B16,'CC -7'!$B$8:$AS$17,36,0)</f>
        <v>26</v>
      </c>
      <c r="G16" s="132">
        <f t="shared" si="14"/>
        <v>3200000</v>
      </c>
      <c r="H16" s="79">
        <f>(VLOOKUP(B16,'CC -7'!$B$8:$AS$17,37,0)+VLOOKUP(B16,'CC -7'!$B$8:$AS$17,38,0))</f>
        <v>0</v>
      </c>
      <c r="I16" s="132">
        <f t="shared" si="15"/>
        <v>0</v>
      </c>
      <c r="J16" s="133">
        <f t="shared" si="16"/>
        <v>26</v>
      </c>
      <c r="K16" s="32">
        <f t="shared" si="16"/>
        <v>3200000</v>
      </c>
      <c r="L16" s="77">
        <f t="shared" si="17"/>
        <v>390000</v>
      </c>
      <c r="M16" s="33">
        <f t="shared" si="18"/>
        <v>3590000</v>
      </c>
      <c r="N16" s="33">
        <f t="shared" si="19"/>
        <v>0</v>
      </c>
      <c r="O16" s="33">
        <f t="shared" si="19"/>
        <v>0</v>
      </c>
      <c r="P16" s="33">
        <f t="shared" si="19"/>
        <v>0</v>
      </c>
      <c r="Q16" s="32">
        <f t="shared" ref="Q16" si="33">M16-SUM(N16:P16)</f>
        <v>3590000</v>
      </c>
      <c r="R16" s="32">
        <f t="shared" si="20"/>
        <v>0</v>
      </c>
      <c r="S16" s="38">
        <f t="shared" ref="S16" si="34">Q16-R16</f>
        <v>3590000</v>
      </c>
      <c r="T16" s="32"/>
      <c r="U16" s="91"/>
      <c r="V16" s="30"/>
      <c r="W16" s="22"/>
      <c r="X16" s="5"/>
      <c r="Y16" s="5"/>
      <c r="Z16" s="5"/>
      <c r="AA16" s="4"/>
      <c r="AB16" s="4"/>
      <c r="AC16" s="4"/>
      <c r="AD16" s="4"/>
      <c r="AE16" s="4"/>
    </row>
    <row r="17" spans="1:26" s="29" customFormat="1" ht="22.5" customHeight="1">
      <c r="A17" s="34"/>
      <c r="B17" s="171"/>
      <c r="C17" s="35"/>
      <c r="D17" s="3"/>
      <c r="E17" s="36"/>
      <c r="F17" s="36"/>
      <c r="G17" s="36"/>
      <c r="H17" s="36"/>
      <c r="I17" s="36"/>
      <c r="J17" s="37"/>
      <c r="K17" s="36"/>
      <c r="L17" s="36"/>
      <c r="M17" s="170"/>
      <c r="N17" s="36"/>
      <c r="O17" s="36"/>
      <c r="P17" s="36"/>
      <c r="Q17" s="36"/>
      <c r="R17" s="36"/>
      <c r="S17" s="36"/>
      <c r="T17" s="32"/>
      <c r="U17" s="91"/>
      <c r="V17" s="30"/>
      <c r="W17" s="30"/>
      <c r="X17" s="30"/>
      <c r="Y17" s="30"/>
      <c r="Z17" s="30"/>
    </row>
    <row r="18" spans="1:26" s="25" customFormat="1" ht="21" customHeight="1">
      <c r="A18" s="221" t="s">
        <v>23</v>
      </c>
      <c r="B18" s="222"/>
      <c r="C18" s="222"/>
      <c r="D18" s="223"/>
      <c r="E18" s="127">
        <f>SUM(E13:E17)</f>
        <v>11400000</v>
      </c>
      <c r="F18" s="127"/>
      <c r="G18" s="127">
        <f>SUM(G13:G17)</f>
        <v>11400000</v>
      </c>
      <c r="H18" s="127"/>
      <c r="I18" s="127">
        <f>SUM(I13:I17)</f>
        <v>0</v>
      </c>
      <c r="J18" s="127"/>
      <c r="K18" s="127">
        <f t="shared" ref="K18:S18" si="35">SUM(K13:K17)</f>
        <v>11400000</v>
      </c>
      <c r="L18" s="127">
        <f t="shared" si="35"/>
        <v>1170000</v>
      </c>
      <c r="M18" s="127">
        <f t="shared" si="35"/>
        <v>12570000</v>
      </c>
      <c r="N18" s="127">
        <f t="shared" si="35"/>
        <v>0</v>
      </c>
      <c r="O18" s="127">
        <f t="shared" si="35"/>
        <v>0</v>
      </c>
      <c r="P18" s="127">
        <f t="shared" si="35"/>
        <v>0</v>
      </c>
      <c r="Q18" s="127">
        <f t="shared" si="35"/>
        <v>12570000</v>
      </c>
      <c r="R18" s="127">
        <f t="shared" si="35"/>
        <v>0</v>
      </c>
      <c r="S18" s="127">
        <f t="shared" si="35"/>
        <v>12570000</v>
      </c>
      <c r="T18" s="20"/>
      <c r="U18" s="91"/>
      <c r="V18" s="26"/>
      <c r="W18" s="26"/>
      <c r="X18" s="26"/>
      <c r="Y18" s="26"/>
      <c r="Z18" s="26"/>
    </row>
    <row r="19" spans="1:26" ht="11.25" customHeight="1">
      <c r="A19" s="8"/>
      <c r="B19" s="8"/>
      <c r="C19" s="9"/>
      <c r="D19" s="104"/>
      <c r="E19" s="81"/>
      <c r="F19" s="9"/>
      <c r="G19" s="9"/>
      <c r="H19" s="9"/>
      <c r="I19" s="9"/>
      <c r="K19" s="9"/>
      <c r="L19" s="9"/>
      <c r="M19" s="89"/>
      <c r="N19" s="9"/>
      <c r="O19" s="9"/>
      <c r="P19" s="9"/>
      <c r="Q19" s="9"/>
      <c r="R19" s="9"/>
      <c r="S19" s="9"/>
      <c r="T19" s="9"/>
      <c r="U19" s="91"/>
    </row>
    <row r="20" spans="1:26" s="29" customFormat="1" ht="11.25" customHeight="1">
      <c r="A20" s="65"/>
      <c r="B20" s="65"/>
      <c r="C20" s="65"/>
      <c r="D20" s="120"/>
      <c r="E20" s="121"/>
      <c r="F20" s="65"/>
      <c r="G20" s="65"/>
      <c r="H20" s="65"/>
      <c r="I20" s="65"/>
      <c r="J20" s="122"/>
      <c r="K20" s="121"/>
      <c r="L20" s="65"/>
      <c r="M20" s="65"/>
      <c r="N20" s="65"/>
      <c r="O20" s="65"/>
      <c r="P20" s="65"/>
      <c r="Q20" s="65"/>
      <c r="R20" s="65"/>
      <c r="S20" s="95" t="str">
        <f>"Bình Chánh, ngày  "&amp;$V$2&amp;"   tháng   "&amp;TEXT($E$4,"mm")&amp;"   năm "&amp;TEXT($E$4,"yyyy")</f>
        <v>Bình Chánh, ngày  31   tháng   07   năm 2017</v>
      </c>
      <c r="T20" s="65"/>
      <c r="U20" s="123"/>
      <c r="V20" s="30"/>
      <c r="W20" s="30"/>
      <c r="X20" s="30"/>
      <c r="Y20" s="30"/>
      <c r="Z20" s="30"/>
    </row>
    <row r="21" spans="1:26" s="29" customFormat="1" ht="12.75">
      <c r="A21" s="23"/>
      <c r="B21" s="23"/>
      <c r="C21" s="23" t="s">
        <v>53</v>
      </c>
      <c r="D21" s="124"/>
      <c r="E21" s="66"/>
      <c r="F21" s="123"/>
      <c r="G21" s="66"/>
      <c r="H21" s="66"/>
      <c r="I21" s="66"/>
      <c r="J21" s="125"/>
      <c r="K21" s="30"/>
      <c r="L21" s="23"/>
      <c r="M21" s="134"/>
      <c r="N21" s="19"/>
      <c r="O21" s="19"/>
      <c r="P21" s="19"/>
      <c r="Q21" s="19"/>
      <c r="S21" s="123" t="s">
        <v>21</v>
      </c>
      <c r="T21" s="123"/>
      <c r="U21" s="123"/>
      <c r="V21" s="30"/>
      <c r="W21" s="30"/>
      <c r="X21" s="30"/>
      <c r="Y21" s="30"/>
      <c r="Z21" s="30"/>
    </row>
    <row r="22" spans="1:26" ht="12">
      <c r="A22" s="8"/>
      <c r="B22" s="8"/>
      <c r="C22" s="15"/>
      <c r="E22" s="13"/>
      <c r="F22" s="12"/>
      <c r="G22" s="13"/>
      <c r="H22" s="13"/>
      <c r="I22" s="13"/>
      <c r="K22" s="7"/>
      <c r="L22" s="15"/>
      <c r="N22" s="11"/>
      <c r="O22" s="11"/>
      <c r="P22" s="11"/>
      <c r="Q22" s="11"/>
      <c r="S22" s="11"/>
      <c r="T22" s="12"/>
      <c r="U22" s="91"/>
    </row>
    <row r="23" spans="1:26" ht="12">
      <c r="C23" s="15"/>
      <c r="L23" s="15"/>
      <c r="T23" s="15"/>
      <c r="U23" s="91"/>
    </row>
    <row r="24" spans="1:26" ht="12">
      <c r="U24" s="91"/>
    </row>
    <row r="25" spans="1:26" ht="12">
      <c r="U25" s="91"/>
    </row>
    <row r="26" spans="1:26" ht="12">
      <c r="U26" s="91"/>
    </row>
    <row r="27" spans="1:26" ht="12">
      <c r="U27" s="91"/>
    </row>
    <row r="28" spans="1:26" ht="12">
      <c r="U28" s="91"/>
    </row>
    <row r="29" spans="1:26" ht="12">
      <c r="U29" s="91"/>
    </row>
  </sheetData>
  <protectedRanges>
    <protectedRange password="CC78" sqref="V17:IK18 C5:D7 B21:C21 V5:W9 A17:A22 B17:B20 B22 V13:W13 Q5:T7 E5:I6 D18 N5:P6 L5 L21 J6:K7 L7 A24:T57 U30:U57 N17:S17 V24:IK57 J17:L17 A58:IK65325 AF13:IK13 V12:IK12 D12 Q10:S11 W10:W11 AF5:IK11 A10:B12" name="Range1"/>
    <protectedRange password="CC78" sqref="F7:H7" name="Range1_4"/>
    <protectedRange password="CC78" sqref="V21:IK22 S21:T22 N21:Q22 E21:I22" name="Range1_1_1"/>
    <protectedRange password="CC78" sqref="U1 W1:IK3 V4:IK4 B4:T4 R2:S3 B1:Q3 U17:U29 X13:AE13 U4:U13 X5:AE11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AF14:IK16 Q14:S16 W14:W16 A14:B16" name="Range1_5"/>
    <protectedRange password="CC78" sqref="X14:AE16 U14:U16" name="Range1_2_3"/>
    <protectedRange password="CC78" sqref="V14:V16" name="Range1_1_3"/>
    <protectedRange password="CC78" sqref="K10:K11 K14:K16" name="Range1_6"/>
    <protectedRange password="CC78" sqref="A2:A3" name="Range1_2_1_3"/>
    <protectedRange password="CC78" sqref="E12:T12" name="Range1_3"/>
    <protectedRange password="CC78" sqref="E18:T18" name="Range1_7"/>
    <protectedRange password="CC78" sqref="U2" name="Range1_2_2_1_1"/>
  </protectedRanges>
  <autoFilter ref="A7:AE10"/>
  <mergeCells count="22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B14" sqref="B14:B1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82" customWidth="1"/>
    <col min="5" max="5" width="7.140625" style="2" customWidth="1"/>
    <col min="6" max="33" width="3.42578125" style="110" customWidth="1"/>
    <col min="34" max="36" width="3.42578125" style="111" customWidth="1"/>
    <col min="37" max="38" width="4.42578125" style="2" customWidth="1"/>
    <col min="39" max="39" width="5.5703125" style="8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6"/>
      <c r="B1" s="41"/>
      <c r="C1" s="41"/>
      <c r="D1" s="45"/>
      <c r="E1" s="41"/>
      <c r="F1" s="45"/>
      <c r="G1" s="45"/>
      <c r="H1" s="45"/>
      <c r="I1" s="45"/>
      <c r="J1" s="45"/>
      <c r="K1" s="106"/>
      <c r="L1" s="106"/>
      <c r="M1" s="106"/>
      <c r="N1" s="106"/>
      <c r="O1" s="106"/>
      <c r="P1" s="106"/>
      <c r="Q1" s="106"/>
      <c r="R1" s="106"/>
      <c r="S1" s="43" t="str">
        <f>CONCATENATE("BẢNG CHẤM CÔNG THÁNG ",TEXT($E$4,"mm")," NĂM ",TEXT($E$4,"yyyy"))</f>
        <v>BẢNG CHẤM CÔNG THÁNG 08 NĂM 2017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42"/>
      <c r="AL1" s="42"/>
      <c r="AM1" s="259" t="s">
        <v>79</v>
      </c>
      <c r="AN1" s="260"/>
      <c r="AO1" s="260"/>
      <c r="AP1" s="260"/>
      <c r="AQ1" s="260"/>
      <c r="AR1" s="260"/>
      <c r="AS1" s="261"/>
      <c r="AT1" s="44"/>
    </row>
    <row r="2" spans="1:91" ht="20.25">
      <c r="A2" s="126"/>
      <c r="B2" s="45"/>
      <c r="C2" s="45"/>
      <c r="D2" s="45"/>
      <c r="E2" s="45"/>
      <c r="F2" s="45"/>
      <c r="G2" s="45"/>
      <c r="H2" s="45"/>
      <c r="I2" s="45"/>
      <c r="J2" s="45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42"/>
      <c r="AL2" s="42"/>
      <c r="AM2" s="83"/>
      <c r="AN2" s="46"/>
      <c r="AO2" s="46"/>
      <c r="AP2" s="46"/>
      <c r="AQ2" s="46"/>
      <c r="AR2" s="46"/>
      <c r="AS2" s="82"/>
      <c r="AT2" s="82"/>
    </row>
    <row r="3" spans="1:91" ht="21" customHeight="1">
      <c r="A3" s="126"/>
      <c r="B3" s="47"/>
      <c r="C3" s="47"/>
      <c r="D3" s="48"/>
      <c r="E3" s="48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42"/>
      <c r="AL3" s="42"/>
      <c r="AM3" s="83"/>
      <c r="AN3" s="44"/>
      <c r="AO3" s="44"/>
      <c r="AP3" s="44"/>
      <c r="AQ3" s="44"/>
      <c r="AR3" s="44"/>
      <c r="AS3" s="49"/>
      <c r="AT3" s="49"/>
    </row>
    <row r="4" spans="1:91" ht="14.25" customHeight="1">
      <c r="A4" s="50"/>
      <c r="B4" s="50"/>
      <c r="C4" s="142"/>
      <c r="D4" s="141"/>
      <c r="E4" s="51">
        <v>42948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3"/>
      <c r="AI4" s="53"/>
      <c r="AJ4" s="53"/>
      <c r="AK4" s="50"/>
      <c r="AL4" s="50"/>
      <c r="AM4" s="84"/>
      <c r="AN4" s="50"/>
      <c r="AO4" s="50"/>
      <c r="AP4" s="50"/>
      <c r="AQ4" s="50"/>
      <c r="AR4" s="50"/>
      <c r="AS4" s="50"/>
      <c r="AT4" s="88"/>
    </row>
    <row r="5" spans="1:91" s="54" customFormat="1" ht="18.75" customHeight="1">
      <c r="A5" s="256" t="s">
        <v>26</v>
      </c>
      <c r="B5" s="256" t="s">
        <v>3</v>
      </c>
      <c r="C5" s="256" t="s">
        <v>1</v>
      </c>
      <c r="D5" s="258" t="s">
        <v>27</v>
      </c>
      <c r="E5" s="256" t="s">
        <v>28</v>
      </c>
      <c r="F5" s="105">
        <f>+E4</f>
        <v>42948</v>
      </c>
      <c r="G5" s="105">
        <f t="shared" ref="G5:AJ5" si="0">F5+1</f>
        <v>42949</v>
      </c>
      <c r="H5" s="105">
        <f t="shared" si="0"/>
        <v>42950</v>
      </c>
      <c r="I5" s="105">
        <f t="shared" si="0"/>
        <v>42951</v>
      </c>
      <c r="J5" s="105">
        <f t="shared" si="0"/>
        <v>42952</v>
      </c>
      <c r="K5" s="105">
        <f t="shared" si="0"/>
        <v>42953</v>
      </c>
      <c r="L5" s="105">
        <f t="shared" si="0"/>
        <v>42954</v>
      </c>
      <c r="M5" s="105">
        <f t="shared" si="0"/>
        <v>42955</v>
      </c>
      <c r="N5" s="105">
        <f t="shared" si="0"/>
        <v>42956</v>
      </c>
      <c r="O5" s="105">
        <f t="shared" si="0"/>
        <v>42957</v>
      </c>
      <c r="P5" s="105">
        <f t="shared" si="0"/>
        <v>42958</v>
      </c>
      <c r="Q5" s="105">
        <f t="shared" si="0"/>
        <v>42959</v>
      </c>
      <c r="R5" s="105">
        <f t="shared" si="0"/>
        <v>42960</v>
      </c>
      <c r="S5" s="105">
        <f t="shared" si="0"/>
        <v>42961</v>
      </c>
      <c r="T5" s="105">
        <f t="shared" si="0"/>
        <v>42962</v>
      </c>
      <c r="U5" s="105">
        <f t="shared" si="0"/>
        <v>42963</v>
      </c>
      <c r="V5" s="105">
        <f t="shared" si="0"/>
        <v>42964</v>
      </c>
      <c r="W5" s="105">
        <f t="shared" si="0"/>
        <v>42965</v>
      </c>
      <c r="X5" s="105">
        <f t="shared" si="0"/>
        <v>42966</v>
      </c>
      <c r="Y5" s="105">
        <f t="shared" si="0"/>
        <v>42967</v>
      </c>
      <c r="Z5" s="105">
        <f t="shared" si="0"/>
        <v>42968</v>
      </c>
      <c r="AA5" s="105">
        <f t="shared" si="0"/>
        <v>42969</v>
      </c>
      <c r="AB5" s="105">
        <f t="shared" si="0"/>
        <v>42970</v>
      </c>
      <c r="AC5" s="105">
        <f t="shared" si="0"/>
        <v>42971</v>
      </c>
      <c r="AD5" s="105">
        <f t="shared" si="0"/>
        <v>42972</v>
      </c>
      <c r="AE5" s="105">
        <f t="shared" si="0"/>
        <v>42973</v>
      </c>
      <c r="AF5" s="105">
        <f t="shared" si="0"/>
        <v>42974</v>
      </c>
      <c r="AG5" s="105">
        <f t="shared" si="0"/>
        <v>42975</v>
      </c>
      <c r="AH5" s="105">
        <f>AG5+1</f>
        <v>42976</v>
      </c>
      <c r="AI5" s="105">
        <f t="shared" si="0"/>
        <v>42977</v>
      </c>
      <c r="AJ5" s="105">
        <f t="shared" si="0"/>
        <v>42978</v>
      </c>
      <c r="AK5" s="262" t="s">
        <v>15</v>
      </c>
      <c r="AL5" s="263"/>
      <c r="AM5" s="264"/>
      <c r="AN5" s="265" t="s">
        <v>39</v>
      </c>
      <c r="AO5" s="265" t="s">
        <v>35</v>
      </c>
      <c r="AP5" s="265" t="s">
        <v>36</v>
      </c>
      <c r="AQ5" s="265" t="s">
        <v>37</v>
      </c>
      <c r="AR5" s="265" t="s">
        <v>38</v>
      </c>
      <c r="AS5" s="258" t="s">
        <v>0</v>
      </c>
      <c r="AT5" s="25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4" customFormat="1" ht="39.75" customHeight="1">
      <c r="A6" s="257"/>
      <c r="B6" s="257"/>
      <c r="C6" s="257"/>
      <c r="D6" s="257"/>
      <c r="E6" s="257"/>
      <c r="F6" s="160" t="str">
        <f>CHOOSE(WEEKDAY(F5),"C.Nhật","T.Hai","T.Ba","T.Tư","T.Năm","T.Sáu","T.Bảy")</f>
        <v>T.Ba</v>
      </c>
      <c r="G6" s="160" t="str">
        <f t="shared" ref="G6:AJ6" si="1">CHOOSE(WEEKDAY(G5),"C.Nhật","T.Hai","T.Ba","T.Tư","T.Năm","T.Sáu","T.Bảy")</f>
        <v>T.Tư</v>
      </c>
      <c r="H6" s="160" t="str">
        <f t="shared" si="1"/>
        <v>T.Năm</v>
      </c>
      <c r="I6" s="160" t="str">
        <f t="shared" si="1"/>
        <v>T.Sáu</v>
      </c>
      <c r="J6" s="160" t="str">
        <f t="shared" si="1"/>
        <v>T.Bảy</v>
      </c>
      <c r="K6" s="160" t="str">
        <f t="shared" si="1"/>
        <v>C.Nhật</v>
      </c>
      <c r="L6" s="160" t="str">
        <f t="shared" si="1"/>
        <v>T.Hai</v>
      </c>
      <c r="M6" s="160" t="str">
        <f t="shared" si="1"/>
        <v>T.Ba</v>
      </c>
      <c r="N6" s="160" t="str">
        <f t="shared" si="1"/>
        <v>T.Tư</v>
      </c>
      <c r="O6" s="160" t="str">
        <f t="shared" si="1"/>
        <v>T.Năm</v>
      </c>
      <c r="P6" s="160" t="str">
        <f t="shared" si="1"/>
        <v>T.Sáu</v>
      </c>
      <c r="Q6" s="160" t="str">
        <f t="shared" si="1"/>
        <v>T.Bảy</v>
      </c>
      <c r="R6" s="160" t="str">
        <f t="shared" si="1"/>
        <v>C.Nhật</v>
      </c>
      <c r="S6" s="160" t="str">
        <f t="shared" si="1"/>
        <v>T.Hai</v>
      </c>
      <c r="T6" s="160" t="str">
        <f t="shared" si="1"/>
        <v>T.Ba</v>
      </c>
      <c r="U6" s="160" t="str">
        <f t="shared" si="1"/>
        <v>T.Tư</v>
      </c>
      <c r="V6" s="160" t="str">
        <f t="shared" si="1"/>
        <v>T.Năm</v>
      </c>
      <c r="W6" s="160" t="str">
        <f t="shared" si="1"/>
        <v>T.Sáu</v>
      </c>
      <c r="X6" s="160" t="str">
        <f t="shared" si="1"/>
        <v>T.Bảy</v>
      </c>
      <c r="Y6" s="160" t="str">
        <f t="shared" si="1"/>
        <v>C.Nhật</v>
      </c>
      <c r="Z6" s="160" t="str">
        <f t="shared" si="1"/>
        <v>T.Hai</v>
      </c>
      <c r="AA6" s="160" t="str">
        <f t="shared" si="1"/>
        <v>T.Ba</v>
      </c>
      <c r="AB6" s="160" t="str">
        <f t="shared" si="1"/>
        <v>T.Tư</v>
      </c>
      <c r="AC6" s="160" t="str">
        <f t="shared" si="1"/>
        <v>T.Năm</v>
      </c>
      <c r="AD6" s="160" t="str">
        <f t="shared" si="1"/>
        <v>T.Sáu</v>
      </c>
      <c r="AE6" s="160" t="str">
        <f t="shared" si="1"/>
        <v>T.Bảy</v>
      </c>
      <c r="AF6" s="160" t="str">
        <f t="shared" si="1"/>
        <v>C.Nhật</v>
      </c>
      <c r="AG6" s="160" t="str">
        <f t="shared" si="1"/>
        <v>T.Hai</v>
      </c>
      <c r="AH6" s="160" t="str">
        <f t="shared" si="1"/>
        <v>T.Ba</v>
      </c>
      <c r="AI6" s="160" t="str">
        <f t="shared" si="1"/>
        <v>T.Tư</v>
      </c>
      <c r="AJ6" s="160" t="str">
        <f t="shared" si="1"/>
        <v>T.Năm</v>
      </c>
      <c r="AK6" s="161" t="s">
        <v>16</v>
      </c>
      <c r="AL6" s="161" t="s">
        <v>29</v>
      </c>
      <c r="AM6" s="162" t="s">
        <v>17</v>
      </c>
      <c r="AN6" s="266"/>
      <c r="AO6" s="266"/>
      <c r="AP6" s="266"/>
      <c r="AQ6" s="266"/>
      <c r="AR6" s="266"/>
      <c r="AS6" s="257"/>
      <c r="AT6" s="25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4" customFormat="1" ht="12.75" customHeight="1">
      <c r="A7" s="163">
        <v>1</v>
      </c>
      <c r="B7" s="163">
        <v>1</v>
      </c>
      <c r="C7" s="163">
        <v>2</v>
      </c>
      <c r="D7" s="163">
        <v>3</v>
      </c>
      <c r="E7" s="163">
        <v>4</v>
      </c>
      <c r="F7" s="163">
        <v>5</v>
      </c>
      <c r="G7" s="163">
        <v>6</v>
      </c>
      <c r="H7" s="163">
        <v>7</v>
      </c>
      <c r="I7" s="163">
        <v>8</v>
      </c>
      <c r="J7" s="163">
        <v>9</v>
      </c>
      <c r="K7" s="163">
        <v>10</v>
      </c>
      <c r="L7" s="163">
        <v>11</v>
      </c>
      <c r="M7" s="163">
        <v>12</v>
      </c>
      <c r="N7" s="163">
        <v>13</v>
      </c>
      <c r="O7" s="163">
        <v>14</v>
      </c>
      <c r="P7" s="163">
        <v>15</v>
      </c>
      <c r="Q7" s="163">
        <v>16</v>
      </c>
      <c r="R7" s="163">
        <v>17</v>
      </c>
      <c r="S7" s="163">
        <v>18</v>
      </c>
      <c r="T7" s="163">
        <v>19</v>
      </c>
      <c r="U7" s="163">
        <v>20</v>
      </c>
      <c r="V7" s="163">
        <v>21</v>
      </c>
      <c r="W7" s="163">
        <v>22</v>
      </c>
      <c r="X7" s="163">
        <v>23</v>
      </c>
      <c r="Y7" s="163">
        <v>24</v>
      </c>
      <c r="Z7" s="163">
        <v>25</v>
      </c>
      <c r="AA7" s="163">
        <v>26</v>
      </c>
      <c r="AB7" s="163">
        <v>27</v>
      </c>
      <c r="AC7" s="163">
        <v>28</v>
      </c>
      <c r="AD7" s="163">
        <v>29</v>
      </c>
      <c r="AE7" s="163">
        <v>30</v>
      </c>
      <c r="AF7" s="163">
        <v>31</v>
      </c>
      <c r="AG7" s="163">
        <v>32</v>
      </c>
      <c r="AH7" s="163">
        <v>33</v>
      </c>
      <c r="AI7" s="163">
        <v>34</v>
      </c>
      <c r="AJ7" s="163">
        <v>35</v>
      </c>
      <c r="AK7" s="163">
        <v>36</v>
      </c>
      <c r="AL7" s="163">
        <v>37</v>
      </c>
      <c r="AM7" s="163">
        <v>38</v>
      </c>
      <c r="AN7" s="163">
        <v>39</v>
      </c>
      <c r="AO7" s="163">
        <v>40</v>
      </c>
      <c r="AP7" s="163">
        <v>41</v>
      </c>
      <c r="AQ7" s="163">
        <v>42</v>
      </c>
      <c r="AR7" s="163">
        <v>43</v>
      </c>
      <c r="AS7" s="163">
        <v>44</v>
      </c>
      <c r="AT7" s="184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6" customFormat="1" ht="21" customHeight="1">
      <c r="A8" s="164" t="s">
        <v>68</v>
      </c>
      <c r="B8" s="167" t="s">
        <v>80</v>
      </c>
      <c r="C8" s="168"/>
      <c r="D8" s="168"/>
      <c r="E8" s="168"/>
      <c r="F8" s="168"/>
      <c r="G8" s="168"/>
      <c r="H8" s="168"/>
      <c r="I8" s="168"/>
      <c r="J8" s="168"/>
      <c r="K8" s="168"/>
      <c r="L8" s="168"/>
      <c r="M8" s="168"/>
      <c r="N8" s="168"/>
      <c r="O8" s="168"/>
      <c r="P8" s="168"/>
      <c r="Q8" s="168"/>
      <c r="R8" s="168"/>
      <c r="S8" s="168"/>
      <c r="T8" s="168"/>
      <c r="U8" s="168"/>
      <c r="V8" s="168"/>
      <c r="W8" s="168"/>
      <c r="X8" s="168"/>
      <c r="Y8" s="168"/>
      <c r="Z8" s="168"/>
      <c r="AA8" s="168"/>
      <c r="AB8" s="168"/>
      <c r="AC8" s="168"/>
      <c r="AD8" s="168"/>
      <c r="AE8" s="168"/>
      <c r="AF8" s="168"/>
      <c r="AG8" s="168"/>
      <c r="AH8" s="168"/>
      <c r="AI8" s="168"/>
      <c r="AJ8" s="168"/>
      <c r="AK8" s="168"/>
      <c r="AL8" s="168"/>
      <c r="AM8" s="168"/>
      <c r="AN8" s="168"/>
      <c r="AO8" s="168"/>
      <c r="AP8" s="168"/>
      <c r="AQ8" s="168"/>
      <c r="AR8" s="168"/>
      <c r="AS8" s="169"/>
      <c r="AT8" s="165"/>
    </row>
    <row r="9" spans="1:91" s="54" customFormat="1" ht="18" customHeight="1">
      <c r="A9" s="249">
        <v>1</v>
      </c>
      <c r="B9" s="249" t="s">
        <v>74</v>
      </c>
      <c r="C9" s="251" t="str">
        <f>VLOOKUP(B9,DS,2,0)</f>
        <v>Nguyễn Thị Kim Quyên</v>
      </c>
      <c r="D9" s="253" t="str">
        <f>VLOOKUP(B9,DS,3,0)</f>
        <v>Văn Phòng</v>
      </c>
      <c r="E9" s="55" t="s">
        <v>30</v>
      </c>
      <c r="F9" s="130">
        <v>8</v>
      </c>
      <c r="G9" s="130">
        <v>8</v>
      </c>
      <c r="H9" s="130">
        <v>8</v>
      </c>
      <c r="I9" s="130">
        <v>8</v>
      </c>
      <c r="J9" s="130">
        <v>8</v>
      </c>
      <c r="K9" s="130"/>
      <c r="L9" s="130">
        <v>8</v>
      </c>
      <c r="M9" s="130">
        <v>8</v>
      </c>
      <c r="N9" s="130">
        <v>8</v>
      </c>
      <c r="O9" s="130">
        <v>8</v>
      </c>
      <c r="P9" s="130">
        <v>8</v>
      </c>
      <c r="Q9" s="130">
        <v>8</v>
      </c>
      <c r="R9" s="130"/>
      <c r="S9" s="130">
        <v>8</v>
      </c>
      <c r="T9" s="130">
        <v>8</v>
      </c>
      <c r="U9" s="130">
        <v>8</v>
      </c>
      <c r="V9" s="130">
        <v>8</v>
      </c>
      <c r="W9" s="130">
        <v>8</v>
      </c>
      <c r="X9" s="130">
        <v>8</v>
      </c>
      <c r="Y9" s="130"/>
      <c r="Z9" s="130">
        <v>8</v>
      </c>
      <c r="AA9" s="130">
        <v>8</v>
      </c>
      <c r="AB9" s="130">
        <v>8</v>
      </c>
      <c r="AC9" s="130">
        <v>8</v>
      </c>
      <c r="AD9" s="130">
        <v>8</v>
      </c>
      <c r="AE9" s="130">
        <v>8</v>
      </c>
      <c r="AF9" s="130"/>
      <c r="AG9" s="130">
        <v>8</v>
      </c>
      <c r="AH9" s="130">
        <v>8</v>
      </c>
      <c r="AI9" s="130">
        <v>8</v>
      </c>
      <c r="AJ9" s="130">
        <v>8</v>
      </c>
      <c r="AK9" s="245">
        <f>((SUM(F9:AJ9))/8)-(SUMIF($F$6:$AJ$6,"C.Nhật",F9:AJ9)/8)</f>
        <v>27</v>
      </c>
      <c r="AL9" s="245">
        <f>SUM(F10:AJ10)/8*1.5</f>
        <v>0</v>
      </c>
      <c r="AM9" s="247">
        <f>SUMIF($F$6:$AJ$6,"C.Nhật",$F9:$AJ10)/8*2</f>
        <v>0</v>
      </c>
      <c r="AN9" s="241">
        <f>SUM(AK9:AM10)</f>
        <v>27</v>
      </c>
      <c r="AO9" s="243">
        <v>0</v>
      </c>
      <c r="AP9" s="241"/>
      <c r="AQ9" s="241"/>
      <c r="AR9" s="241"/>
      <c r="AS9" s="239"/>
      <c r="AT9" s="184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4" customFormat="1" ht="18" customHeight="1">
      <c r="A10" s="250"/>
      <c r="B10" s="250"/>
      <c r="C10" s="252"/>
      <c r="D10" s="254"/>
      <c r="E10" s="56" t="s">
        <v>29</v>
      </c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131"/>
      <c r="AK10" s="246"/>
      <c r="AL10" s="246"/>
      <c r="AM10" s="248"/>
      <c r="AN10" s="242"/>
      <c r="AO10" s="244"/>
      <c r="AP10" s="242"/>
      <c r="AQ10" s="242"/>
      <c r="AR10" s="242"/>
      <c r="AS10" s="240"/>
      <c r="AT10" s="184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66" customFormat="1" ht="21" customHeight="1">
      <c r="A11" s="164" t="s">
        <v>69</v>
      </c>
      <c r="B11" s="167" t="s">
        <v>73</v>
      </c>
      <c r="C11" s="168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  <c r="P11" s="168"/>
      <c r="Q11" s="168"/>
      <c r="R11" s="168"/>
      <c r="S11" s="168"/>
      <c r="T11" s="168"/>
      <c r="U11" s="168"/>
      <c r="V11" s="168"/>
      <c r="W11" s="168"/>
      <c r="X11" s="168"/>
      <c r="Y11" s="168"/>
      <c r="Z11" s="168"/>
      <c r="AA11" s="168"/>
      <c r="AB11" s="168"/>
      <c r="AC11" s="168"/>
      <c r="AD11" s="168"/>
      <c r="AE11" s="168"/>
      <c r="AF11" s="168"/>
      <c r="AG11" s="168"/>
      <c r="AH11" s="168"/>
      <c r="AI11" s="168"/>
      <c r="AJ11" s="168"/>
      <c r="AK11" s="168"/>
      <c r="AL11" s="168"/>
      <c r="AM11" s="168"/>
      <c r="AN11" s="168"/>
      <c r="AO11" s="168"/>
      <c r="AP11" s="168"/>
      <c r="AQ11" s="168"/>
      <c r="AR11" s="168"/>
      <c r="AS11" s="169"/>
      <c r="AT11" s="165"/>
    </row>
    <row r="12" spans="1:91" s="54" customFormat="1" ht="18" customHeight="1">
      <c r="A12" s="249">
        <v>1</v>
      </c>
      <c r="B12" s="249" t="s">
        <v>75</v>
      </c>
      <c r="C12" s="251" t="str">
        <f>VLOOKUP(B12,DS,2,0)</f>
        <v>Lê Văn Hữu</v>
      </c>
      <c r="D12" s="253" t="str">
        <f>VLOOKUP(B12,DS,3,0)</f>
        <v>Công Đoạn 1</v>
      </c>
      <c r="E12" s="55" t="s">
        <v>30</v>
      </c>
      <c r="F12" s="130">
        <v>8</v>
      </c>
      <c r="G12" s="130">
        <v>8</v>
      </c>
      <c r="H12" s="130">
        <v>8</v>
      </c>
      <c r="I12" s="130">
        <v>8</v>
      </c>
      <c r="J12" s="130">
        <v>8</v>
      </c>
      <c r="K12" s="130"/>
      <c r="L12" s="130">
        <v>8</v>
      </c>
      <c r="M12" s="130">
        <v>8</v>
      </c>
      <c r="N12" s="130">
        <v>8</v>
      </c>
      <c r="O12" s="130">
        <v>8</v>
      </c>
      <c r="P12" s="130">
        <v>8</v>
      </c>
      <c r="Q12" s="130">
        <v>8</v>
      </c>
      <c r="R12" s="130"/>
      <c r="S12" s="130">
        <v>8</v>
      </c>
      <c r="T12" s="130">
        <v>8</v>
      </c>
      <c r="U12" s="130">
        <v>8</v>
      </c>
      <c r="V12" s="130">
        <v>8</v>
      </c>
      <c r="W12" s="130">
        <v>8</v>
      </c>
      <c r="X12" s="130">
        <v>8</v>
      </c>
      <c r="Y12" s="130"/>
      <c r="Z12" s="130">
        <v>8</v>
      </c>
      <c r="AA12" s="130">
        <v>8</v>
      </c>
      <c r="AB12" s="130">
        <v>8</v>
      </c>
      <c r="AC12" s="130">
        <v>8</v>
      </c>
      <c r="AD12" s="130">
        <v>8</v>
      </c>
      <c r="AE12" s="130">
        <v>8</v>
      </c>
      <c r="AF12" s="130"/>
      <c r="AG12" s="130">
        <v>8</v>
      </c>
      <c r="AH12" s="130">
        <v>8</v>
      </c>
      <c r="AI12" s="130">
        <v>8</v>
      </c>
      <c r="AJ12" s="130">
        <v>8</v>
      </c>
      <c r="AK12" s="245">
        <f t="shared" ref="AK12" si="2">((SUM(F12:AJ12))/8)-(SUMIF($F$6:$AJ$6,"C.Nhật",F12:AJ12)/8)</f>
        <v>27</v>
      </c>
      <c r="AL12" s="245">
        <f t="shared" ref="AL12" si="3">SUM(F13:AJ13)/8*1.5</f>
        <v>0</v>
      </c>
      <c r="AM12" s="247">
        <f>SUMIF($F$6:$AJ$6,"C.Nhật",$F12:$AJ13)/8*2</f>
        <v>0</v>
      </c>
      <c r="AN12" s="241">
        <f>SUM(AK12:AM13)</f>
        <v>27</v>
      </c>
      <c r="AO12" s="243">
        <v>0</v>
      </c>
      <c r="AP12" s="241"/>
      <c r="AQ12" s="241"/>
      <c r="AR12" s="241"/>
      <c r="AS12" s="239"/>
      <c r="AT12" s="205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54" customFormat="1" ht="18" customHeight="1">
      <c r="A13" s="250"/>
      <c r="B13" s="250"/>
      <c r="C13" s="252"/>
      <c r="D13" s="254"/>
      <c r="E13" s="56" t="s">
        <v>29</v>
      </c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  <c r="AH13" s="131"/>
      <c r="AI13" s="131"/>
      <c r="AJ13" s="131"/>
      <c r="AK13" s="246"/>
      <c r="AL13" s="246"/>
      <c r="AM13" s="248"/>
      <c r="AN13" s="242"/>
      <c r="AO13" s="244"/>
      <c r="AP13" s="242"/>
      <c r="AQ13" s="242"/>
      <c r="AR13" s="242"/>
      <c r="AS13" s="240"/>
      <c r="AT13" s="205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54" customFormat="1" ht="18" customHeight="1">
      <c r="A14" s="249">
        <v>2</v>
      </c>
      <c r="B14" s="249" t="s">
        <v>76</v>
      </c>
      <c r="C14" s="251" t="str">
        <f>VLOOKUP(B14,DS,2,0)</f>
        <v>Lý Thanh Hải</v>
      </c>
      <c r="D14" s="253" t="str">
        <f>VLOOKUP(B14,DS,3,0)</f>
        <v>Công Đoạn 1</v>
      </c>
      <c r="E14" s="55" t="s">
        <v>30</v>
      </c>
      <c r="F14" s="130">
        <v>8</v>
      </c>
      <c r="G14" s="130">
        <v>8</v>
      </c>
      <c r="H14" s="130">
        <v>8</v>
      </c>
      <c r="I14" s="130">
        <v>8</v>
      </c>
      <c r="J14" s="130">
        <v>8</v>
      </c>
      <c r="K14" s="130"/>
      <c r="L14" s="130">
        <v>8</v>
      </c>
      <c r="M14" s="130">
        <v>8</v>
      </c>
      <c r="N14" s="130">
        <v>8</v>
      </c>
      <c r="O14" s="130">
        <v>8</v>
      </c>
      <c r="P14" s="130">
        <v>8</v>
      </c>
      <c r="Q14" s="130">
        <v>8</v>
      </c>
      <c r="R14" s="130"/>
      <c r="S14" s="130">
        <v>8</v>
      </c>
      <c r="T14" s="130">
        <v>8</v>
      </c>
      <c r="U14" s="130">
        <v>8</v>
      </c>
      <c r="V14" s="130">
        <v>8</v>
      </c>
      <c r="W14" s="130">
        <v>8</v>
      </c>
      <c r="X14" s="130">
        <v>8</v>
      </c>
      <c r="Y14" s="130"/>
      <c r="Z14" s="130">
        <v>8</v>
      </c>
      <c r="AA14" s="130">
        <v>8</v>
      </c>
      <c r="AB14" s="130">
        <v>8</v>
      </c>
      <c r="AC14" s="130">
        <v>8</v>
      </c>
      <c r="AD14" s="130">
        <v>8</v>
      </c>
      <c r="AE14" s="130">
        <v>8</v>
      </c>
      <c r="AF14" s="130"/>
      <c r="AG14" s="130">
        <v>8</v>
      </c>
      <c r="AH14" s="130">
        <v>8</v>
      </c>
      <c r="AI14" s="130">
        <v>8</v>
      </c>
      <c r="AJ14" s="130">
        <v>8</v>
      </c>
      <c r="AK14" s="245">
        <f t="shared" ref="AK14" si="4">((SUM(F14:AJ14))/8)-(SUMIF($F$6:$AJ$6,"C.Nhật",F14:AJ14)/8)</f>
        <v>27</v>
      </c>
      <c r="AL14" s="245">
        <f t="shared" ref="AL14" si="5">SUM(F15:AJ15)/8*1.5</f>
        <v>0</v>
      </c>
      <c r="AM14" s="247">
        <f>SUMIF($F$6:$AJ$6,"C.Nhật",$F14:$AJ15)/8*2</f>
        <v>0</v>
      </c>
      <c r="AN14" s="241">
        <f t="shared" ref="AN14" si="6">SUM(AK14:AM15)</f>
        <v>27</v>
      </c>
      <c r="AO14" s="243">
        <v>0</v>
      </c>
      <c r="AP14" s="241"/>
      <c r="AQ14" s="241"/>
      <c r="AR14" s="241"/>
      <c r="AS14" s="239"/>
      <c r="AT14" s="21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4" customFormat="1" ht="18" customHeight="1">
      <c r="A15" s="250"/>
      <c r="B15" s="250"/>
      <c r="C15" s="252"/>
      <c r="D15" s="254"/>
      <c r="E15" s="56" t="s">
        <v>29</v>
      </c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31"/>
      <c r="AK15" s="246"/>
      <c r="AL15" s="246"/>
      <c r="AM15" s="248"/>
      <c r="AN15" s="242"/>
      <c r="AO15" s="244"/>
      <c r="AP15" s="242"/>
      <c r="AQ15" s="242"/>
      <c r="AR15" s="242"/>
      <c r="AS15" s="240"/>
      <c r="AT15" s="21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4" customFormat="1" ht="18" customHeight="1">
      <c r="A16" s="249">
        <v>3</v>
      </c>
      <c r="B16" s="249" t="s">
        <v>77</v>
      </c>
      <c r="C16" s="251" t="str">
        <f>VLOOKUP(B16,DS,2,0)</f>
        <v>Cao Minh Chí</v>
      </c>
      <c r="D16" s="253" t="str">
        <f>VLOOKUP(B16,DS,3,0)</f>
        <v>Công Đoạn 2</v>
      </c>
      <c r="E16" s="55" t="s">
        <v>30</v>
      </c>
      <c r="F16" s="130">
        <v>8</v>
      </c>
      <c r="G16" s="130">
        <v>8</v>
      </c>
      <c r="H16" s="130">
        <v>8</v>
      </c>
      <c r="I16" s="130">
        <v>8</v>
      </c>
      <c r="J16" s="130">
        <v>8</v>
      </c>
      <c r="K16" s="130"/>
      <c r="L16" s="130">
        <v>8</v>
      </c>
      <c r="M16" s="130">
        <v>8</v>
      </c>
      <c r="N16" s="130">
        <v>8</v>
      </c>
      <c r="O16" s="130">
        <v>8</v>
      </c>
      <c r="P16" s="130">
        <v>8</v>
      </c>
      <c r="Q16" s="130">
        <v>8</v>
      </c>
      <c r="R16" s="130"/>
      <c r="S16" s="130">
        <v>8</v>
      </c>
      <c r="T16" s="130">
        <v>8</v>
      </c>
      <c r="U16" s="130">
        <v>8</v>
      </c>
      <c r="V16" s="130">
        <v>8</v>
      </c>
      <c r="W16" s="130">
        <v>8</v>
      </c>
      <c r="X16" s="130">
        <v>8</v>
      </c>
      <c r="Y16" s="130"/>
      <c r="Z16" s="130">
        <v>8</v>
      </c>
      <c r="AA16" s="130">
        <v>8</v>
      </c>
      <c r="AB16" s="130">
        <v>8</v>
      </c>
      <c r="AC16" s="130">
        <v>8</v>
      </c>
      <c r="AD16" s="130">
        <v>8</v>
      </c>
      <c r="AE16" s="130">
        <v>8</v>
      </c>
      <c r="AF16" s="130"/>
      <c r="AG16" s="130">
        <v>8</v>
      </c>
      <c r="AH16" s="130">
        <v>8</v>
      </c>
      <c r="AI16" s="130">
        <v>8</v>
      </c>
      <c r="AJ16" s="130">
        <v>8</v>
      </c>
      <c r="AK16" s="245">
        <f t="shared" ref="AK16" si="7">((SUM(F16:AJ16))/8)-(SUMIF($F$6:$AJ$6,"C.Nhật",F16:AJ16)/8)</f>
        <v>27</v>
      </c>
      <c r="AL16" s="245">
        <f t="shared" ref="AL16" si="8">SUM(F17:AJ17)/8*1.5</f>
        <v>0</v>
      </c>
      <c r="AM16" s="247">
        <f>SUMIF($F$6:$AJ$6,"C.Nhật",$F16:$AJ17)/8*2</f>
        <v>0</v>
      </c>
      <c r="AN16" s="241">
        <f t="shared" ref="AN16" si="9">SUM(AK16:AM17)</f>
        <v>27</v>
      </c>
      <c r="AO16" s="243">
        <v>0</v>
      </c>
      <c r="AP16" s="241"/>
      <c r="AQ16" s="241"/>
      <c r="AR16" s="241"/>
      <c r="AS16" s="239"/>
      <c r="AT16" s="21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4" customFormat="1" ht="18" customHeight="1">
      <c r="A17" s="250"/>
      <c r="B17" s="250"/>
      <c r="C17" s="252"/>
      <c r="D17" s="254"/>
      <c r="E17" s="56" t="s">
        <v>29</v>
      </c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31"/>
      <c r="AK17" s="246"/>
      <c r="AL17" s="246"/>
      <c r="AM17" s="248"/>
      <c r="AN17" s="242"/>
      <c r="AO17" s="244"/>
      <c r="AP17" s="242"/>
      <c r="AQ17" s="242"/>
      <c r="AR17" s="242"/>
      <c r="AS17" s="240"/>
      <c r="AT17" s="21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7" customFormat="1" ht="12.75">
      <c r="A18" s="14"/>
      <c r="B18" s="58"/>
      <c r="C18" s="4"/>
      <c r="D18" s="100"/>
      <c r="E18" s="4"/>
      <c r="F18" s="62"/>
      <c r="G18" s="62"/>
      <c r="H18" s="59"/>
      <c r="I18" s="59"/>
      <c r="J18" s="107"/>
      <c r="K18" s="62"/>
      <c r="L18" s="59"/>
      <c r="M18" s="62"/>
      <c r="N18" s="62"/>
      <c r="O18" s="62"/>
      <c r="P18" s="62"/>
      <c r="Q18" s="59"/>
      <c r="R18" s="62"/>
      <c r="S18" s="62"/>
      <c r="T18" s="107"/>
      <c r="U18" s="62"/>
      <c r="V18" s="62"/>
      <c r="W18" s="62"/>
      <c r="X18" s="58"/>
      <c r="Y18" s="62"/>
      <c r="Z18" s="62"/>
      <c r="AA18" s="62"/>
      <c r="AB18" s="62"/>
      <c r="AC18" s="62"/>
      <c r="AD18" s="59"/>
      <c r="AE18" s="62"/>
      <c r="AF18" s="62"/>
      <c r="AG18" s="62"/>
      <c r="AH18" s="62"/>
      <c r="AI18" s="62"/>
      <c r="AJ18" s="62"/>
      <c r="AK18" s="4"/>
      <c r="AL18" s="4"/>
      <c r="AM18" s="85"/>
      <c r="AN18" s="61"/>
      <c r="AO18" s="61"/>
      <c r="AP18" s="61"/>
      <c r="AQ18" s="61"/>
      <c r="AR18" s="61"/>
      <c r="AS18" s="4"/>
      <c r="AT18" s="91"/>
    </row>
    <row r="19" spans="1:90" s="57" customFormat="1" ht="12.75">
      <c r="A19" s="14"/>
      <c r="B19" s="58"/>
      <c r="C19" s="14" t="s">
        <v>14</v>
      </c>
      <c r="D19" s="100"/>
      <c r="E19" s="4"/>
      <c r="F19" s="62"/>
      <c r="G19" s="62"/>
      <c r="H19" s="59"/>
      <c r="I19" s="59"/>
      <c r="J19" s="107"/>
      <c r="K19" s="62"/>
      <c r="L19" s="59"/>
      <c r="M19" s="62"/>
      <c r="N19" s="62"/>
      <c r="O19" s="62"/>
      <c r="P19" s="62"/>
      <c r="Q19" s="59"/>
      <c r="R19" s="62"/>
      <c r="S19" s="62"/>
      <c r="T19" s="107"/>
      <c r="U19" s="62"/>
      <c r="V19" s="62"/>
      <c r="W19" s="62"/>
      <c r="X19" s="58"/>
      <c r="Y19" s="62"/>
      <c r="Z19" s="62"/>
      <c r="AA19" s="62"/>
      <c r="AB19" s="62"/>
      <c r="AC19" s="62"/>
      <c r="AD19" s="59"/>
      <c r="AE19" s="62"/>
      <c r="AF19" s="62"/>
      <c r="AG19" s="62"/>
      <c r="AH19" s="62"/>
      <c r="AI19" s="62"/>
      <c r="AJ19" s="62"/>
      <c r="AK19" s="4"/>
      <c r="AL19" s="4"/>
      <c r="AM19" s="85"/>
      <c r="AN19" s="61"/>
      <c r="AO19" s="61"/>
      <c r="AP19" s="61"/>
      <c r="AQ19" s="61"/>
      <c r="AR19" s="61"/>
      <c r="AS19" s="4"/>
      <c r="AT19" s="91"/>
    </row>
    <row r="20" spans="1:90" s="57" customFormat="1" ht="12.75">
      <c r="A20" s="12"/>
      <c r="B20" s="12"/>
      <c r="C20" s="4"/>
      <c r="D20" s="100"/>
      <c r="E20" s="4"/>
      <c r="F20" s="62"/>
      <c r="G20" s="62"/>
      <c r="H20" s="108"/>
      <c r="I20" s="108"/>
      <c r="J20" s="108"/>
      <c r="K20" s="62"/>
      <c r="L20" s="108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108"/>
      <c r="AE20" s="62"/>
      <c r="AF20" s="62"/>
      <c r="AG20" s="62"/>
      <c r="AH20" s="62"/>
      <c r="AI20" s="62"/>
      <c r="AJ20" s="62"/>
      <c r="AK20" s="4"/>
      <c r="AL20" s="4"/>
      <c r="AM20" s="85"/>
      <c r="AN20" s="63"/>
      <c r="AO20" s="63"/>
      <c r="AP20" s="63"/>
      <c r="AQ20" s="63"/>
      <c r="AR20" s="63"/>
      <c r="AS20" s="4"/>
      <c r="AT20" s="91"/>
    </row>
    <row r="21" spans="1:90" s="60" customFormat="1" ht="15" customHeight="1">
      <c r="A21" s="12"/>
      <c r="B21" s="12"/>
      <c r="C21" s="4"/>
      <c r="D21" s="100"/>
      <c r="E21" s="4"/>
      <c r="F21" s="62"/>
      <c r="G21" s="62"/>
      <c r="H21" s="108"/>
      <c r="I21" s="108"/>
      <c r="J21" s="108"/>
      <c r="K21" s="62"/>
      <c r="L21" s="108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108"/>
      <c r="AE21" s="62"/>
      <c r="AF21" s="62"/>
      <c r="AG21" s="62"/>
      <c r="AH21" s="62"/>
      <c r="AI21" s="62"/>
      <c r="AJ21" s="62"/>
      <c r="AK21" s="4"/>
      <c r="AL21" s="4"/>
      <c r="AM21" s="85"/>
      <c r="AN21" s="63"/>
      <c r="AO21" s="63"/>
      <c r="AP21" s="63"/>
      <c r="AQ21" s="63"/>
      <c r="AR21" s="63"/>
      <c r="AS21" s="4"/>
      <c r="AT21" s="4"/>
    </row>
    <row r="22" spans="1:90" s="60" customFormat="1" ht="11.25">
      <c r="A22" s="12"/>
      <c r="B22" s="12"/>
      <c r="C22" s="4"/>
      <c r="D22" s="100"/>
      <c r="E22" s="4"/>
      <c r="F22" s="62"/>
      <c r="G22" s="62"/>
      <c r="H22" s="108"/>
      <c r="I22" s="108"/>
      <c r="J22" s="108"/>
      <c r="K22" s="62"/>
      <c r="L22" s="108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108"/>
      <c r="AE22" s="62"/>
      <c r="AF22" s="62"/>
      <c r="AG22" s="62"/>
      <c r="AH22" s="62"/>
      <c r="AI22" s="62"/>
      <c r="AJ22" s="62"/>
      <c r="AK22" s="4"/>
      <c r="AL22" s="4"/>
      <c r="AM22" s="85"/>
      <c r="AN22" s="63"/>
      <c r="AO22" s="63"/>
      <c r="AP22" s="63"/>
      <c r="AQ22" s="63"/>
      <c r="AR22" s="63"/>
      <c r="AS22" s="4"/>
      <c r="AT22" s="4"/>
    </row>
    <row r="23" spans="1:90" s="60" customFormat="1" ht="11.25">
      <c r="A23" s="12"/>
      <c r="B23" s="12"/>
      <c r="C23" s="4"/>
      <c r="D23" s="100"/>
      <c r="E23" s="4"/>
      <c r="F23" s="62"/>
      <c r="G23" s="62"/>
      <c r="H23" s="108"/>
      <c r="I23" s="108"/>
      <c r="J23" s="108"/>
      <c r="K23" s="62"/>
      <c r="L23" s="108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108"/>
      <c r="AE23" s="62"/>
      <c r="AF23" s="62"/>
      <c r="AG23" s="62"/>
      <c r="AH23" s="62"/>
      <c r="AI23" s="62"/>
      <c r="AJ23" s="62"/>
      <c r="AK23" s="4"/>
      <c r="AL23" s="4"/>
      <c r="AM23" s="85"/>
      <c r="AN23" s="63"/>
      <c r="AO23" s="63"/>
      <c r="AP23" s="63"/>
      <c r="AQ23" s="63"/>
      <c r="AR23" s="63"/>
      <c r="AS23" s="4"/>
      <c r="AT23" s="4"/>
    </row>
    <row r="24" spans="1:90" s="60" customFormat="1" ht="11.25">
      <c r="A24" s="10"/>
      <c r="B24" s="10"/>
      <c r="C24" s="14"/>
      <c r="D24" s="101"/>
      <c r="E24" s="64"/>
      <c r="F24" s="107"/>
      <c r="G24" s="109"/>
      <c r="H24" s="59"/>
      <c r="I24" s="59"/>
      <c r="J24" s="59"/>
      <c r="K24" s="109"/>
      <c r="L24" s="59"/>
      <c r="M24" s="109"/>
      <c r="N24" s="109"/>
      <c r="O24" s="109"/>
      <c r="P24" s="109"/>
      <c r="Q24" s="59"/>
      <c r="R24" s="107"/>
      <c r="S24" s="109"/>
      <c r="T24" s="109"/>
      <c r="U24" s="59"/>
      <c r="V24" s="109"/>
      <c r="W24" s="109"/>
      <c r="X24" s="59"/>
      <c r="Y24" s="109"/>
      <c r="Z24" s="109"/>
      <c r="AA24" s="109"/>
      <c r="AB24" s="109"/>
      <c r="AC24" s="109"/>
      <c r="AD24" s="59"/>
      <c r="AE24" s="109"/>
      <c r="AF24" s="109"/>
      <c r="AG24" s="109"/>
      <c r="AH24" s="109"/>
      <c r="AI24" s="109"/>
      <c r="AJ24" s="109"/>
      <c r="AK24" s="64"/>
      <c r="AM24" s="86"/>
      <c r="AN24" s="10"/>
      <c r="AO24" s="10"/>
      <c r="AP24" s="10"/>
      <c r="AQ24" s="10"/>
      <c r="AR24" s="10"/>
      <c r="AS24" s="14"/>
      <c r="AT24" s="4"/>
    </row>
    <row r="25" spans="1:90" s="60" customFormat="1" ht="12.75">
      <c r="A25" s="2"/>
      <c r="B25" s="2" t="s">
        <v>0</v>
      </c>
      <c r="C25" s="2"/>
      <c r="D25" s="182"/>
      <c r="E25" s="2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1"/>
      <c r="AI25" s="111"/>
      <c r="AJ25" s="111"/>
      <c r="AK25" s="2"/>
      <c r="AL25" s="2"/>
      <c r="AM25" s="87"/>
      <c r="AN25" s="2"/>
      <c r="AO25" s="2"/>
      <c r="AP25" s="2"/>
      <c r="AQ25" s="2"/>
      <c r="AR25" s="2"/>
      <c r="AS25" s="2"/>
      <c r="AT25" s="4"/>
    </row>
    <row r="26" spans="1:90" s="60" customFormat="1" ht="12.75">
      <c r="A26" s="2"/>
      <c r="B26" s="2"/>
      <c r="C26" s="2" t="s">
        <v>40</v>
      </c>
      <c r="D26" s="182"/>
      <c r="E26" s="2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1"/>
      <c r="AI26" s="111"/>
      <c r="AJ26" s="111"/>
      <c r="AK26" s="2"/>
      <c r="AL26" s="2"/>
      <c r="AM26" s="87"/>
      <c r="AN26" s="2"/>
      <c r="AO26" s="2"/>
      <c r="AP26" s="2"/>
      <c r="AQ26" s="2"/>
      <c r="AR26" s="2"/>
      <c r="AS26" s="2"/>
      <c r="AT26" s="14"/>
    </row>
    <row r="27" spans="1:90" ht="15" customHeight="1">
      <c r="C27" s="2" t="s">
        <v>41</v>
      </c>
    </row>
    <row r="28" spans="1:90" ht="15" customHeight="1">
      <c r="C28" s="2" t="s">
        <v>42</v>
      </c>
    </row>
    <row r="29" spans="1:90" ht="15" customHeight="1">
      <c r="C29" s="2" t="s">
        <v>43</v>
      </c>
    </row>
    <row r="30" spans="1:90" ht="15" customHeight="1">
      <c r="C30" s="2" t="s">
        <v>44</v>
      </c>
    </row>
    <row r="31" spans="1:90" ht="15" customHeight="1">
      <c r="C31" s="2" t="s">
        <v>45</v>
      </c>
    </row>
    <row r="32" spans="1:90" ht="15" customHeight="1">
      <c r="C32" s="2" t="s">
        <v>46</v>
      </c>
    </row>
    <row r="33" spans="3:3" ht="15" customHeight="1">
      <c r="C33" s="2" t="s">
        <v>47</v>
      </c>
    </row>
    <row r="34" spans="3:3" ht="15" customHeight="1">
      <c r="C34" s="2" t="s">
        <v>48</v>
      </c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20:J23 Q18:Q19" name="Range1_1_1_1"/>
    <protectedRange password="CC78" sqref="J24" name="Range1_3_1_1"/>
    <protectedRange password="CC78" sqref="A12:A17" name="Range1_1_2"/>
    <protectedRange password="CC78" sqref="A12:A17 C12:E17" name="Range1_6_2"/>
    <protectedRange password="CC78" sqref="B12:B17" name="Range1_4_2"/>
  </protectedRanges>
  <mergeCells count="66">
    <mergeCell ref="AN16:AN17"/>
    <mergeCell ref="AO16:AO17"/>
    <mergeCell ref="AK14:AK15"/>
    <mergeCell ref="A14:A15"/>
    <mergeCell ref="B14:B15"/>
    <mergeCell ref="A16:A17"/>
    <mergeCell ref="B16:B17"/>
    <mergeCell ref="C16:C17"/>
    <mergeCell ref="D16:D17"/>
    <mergeCell ref="AK16:AK17"/>
    <mergeCell ref="AM1:AS1"/>
    <mergeCell ref="AK5:AM5"/>
    <mergeCell ref="AN5:AN6"/>
    <mergeCell ref="AO5:AO6"/>
    <mergeCell ref="AP5:AP6"/>
    <mergeCell ref="AQ5:AQ6"/>
    <mergeCell ref="AR5:AR6"/>
    <mergeCell ref="AS5:AS6"/>
    <mergeCell ref="AN12:AN13"/>
    <mergeCell ref="AO12:AO13"/>
    <mergeCell ref="AS14:AS15"/>
    <mergeCell ref="AN14:AN15"/>
    <mergeCell ref="AQ14:AQ15"/>
    <mergeCell ref="AR14:AR15"/>
    <mergeCell ref="AR12:AR13"/>
    <mergeCell ref="AS12:AS13"/>
    <mergeCell ref="AO14:AO15"/>
    <mergeCell ref="AP14:AP15"/>
    <mergeCell ref="C5:C6"/>
    <mergeCell ref="D5:D6"/>
    <mergeCell ref="E5:E6"/>
    <mergeCell ref="AL16:AL17"/>
    <mergeCell ref="AM16:AM17"/>
    <mergeCell ref="C14:C15"/>
    <mergeCell ref="D14:D15"/>
    <mergeCell ref="AL14:AL15"/>
    <mergeCell ref="AM14:AM15"/>
    <mergeCell ref="AL12:AL13"/>
    <mergeCell ref="AM12:AM13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5:A6"/>
    <mergeCell ref="B5:B6"/>
    <mergeCell ref="A12:A13"/>
    <mergeCell ref="B12:B13"/>
    <mergeCell ref="C12:C13"/>
    <mergeCell ref="D12:D13"/>
    <mergeCell ref="AK12:AK13"/>
    <mergeCell ref="AQ16:AQ17"/>
    <mergeCell ref="AR16:AR17"/>
    <mergeCell ref="AS16:AS17"/>
    <mergeCell ref="AP12:AP13"/>
    <mergeCell ref="AQ12:AQ13"/>
    <mergeCell ref="AP16:AP17"/>
  </mergeCells>
  <conditionalFormatting sqref="F5:AJ6 F9:AJ10 F12:AJ17">
    <cfRule type="expression" dxfId="38" priority="41" stopIfTrue="1">
      <formula>IF(WEEKDAY(F$5)=1,TRUE,FALSE)</formula>
    </cfRule>
  </conditionalFormatting>
  <conditionalFormatting sqref="F9:AJ10">
    <cfRule type="expression" dxfId="37" priority="40" stopIfTrue="1">
      <formula>IF(WEEKDAY(F$5)=1,TRUE,FALSE)</formula>
    </cfRule>
  </conditionalFormatting>
  <conditionalFormatting sqref="F12:AJ17">
    <cfRule type="expression" dxfId="36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29"/>
  <sheetViews>
    <sheetView zoomScaleNormal="70" workbookViewId="0">
      <pane xSplit="3" ySplit="8" topLeftCell="D9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B15" sqref="B15:B16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78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26"/>
      <c r="B1" s="186"/>
      <c r="C1" s="186"/>
      <c r="D1" s="273" t="str">
        <f>"BẢNG THANH TOÁN LƯƠNG THÁNG"&amp;" "&amp;TEXT($E$4,"mm")&amp;" / "&amp;TEXT($E$4,"yyyy")</f>
        <v>BẢNG THANH TOÁN LƯƠNG THÁNG 08 / 2017</v>
      </c>
      <c r="E1" s="273"/>
      <c r="F1" s="273"/>
      <c r="G1" s="273"/>
      <c r="H1" s="273"/>
      <c r="I1" s="273"/>
      <c r="J1" s="273"/>
      <c r="K1" s="273"/>
      <c r="L1" s="273"/>
      <c r="M1" s="273"/>
      <c r="N1" s="273"/>
      <c r="O1" s="273"/>
      <c r="P1" s="273"/>
      <c r="Q1" s="274"/>
      <c r="R1" s="275" t="s">
        <v>79</v>
      </c>
      <c r="S1" s="276"/>
      <c r="T1" s="277"/>
      <c r="U1" s="117" t="s">
        <v>51</v>
      </c>
      <c r="V1" s="97" t="s">
        <v>33</v>
      </c>
      <c r="W1" s="70"/>
      <c r="X1" s="70"/>
      <c r="Y1" s="5"/>
      <c r="Z1" s="5"/>
    </row>
    <row r="2" spans="1:31" s="4" customFormat="1" ht="15" customHeight="1">
      <c r="A2" s="126"/>
      <c r="B2" s="186"/>
      <c r="C2" s="186"/>
      <c r="D2" s="186"/>
      <c r="E2" s="68"/>
      <c r="F2" s="186"/>
      <c r="G2" s="186"/>
      <c r="H2" s="186"/>
      <c r="I2" s="186"/>
      <c r="J2" s="69"/>
      <c r="K2" s="186"/>
      <c r="L2" s="186"/>
      <c r="M2" s="186"/>
      <c r="N2" s="186"/>
      <c r="O2" s="186"/>
      <c r="P2" s="186"/>
      <c r="Q2" s="186"/>
      <c r="R2" s="186"/>
      <c r="S2" s="186"/>
      <c r="T2" s="46"/>
      <c r="U2" s="67">
        <f>MAX(F10:F18)</f>
        <v>27</v>
      </c>
      <c r="V2" s="98">
        <v>31</v>
      </c>
      <c r="W2" s="70"/>
      <c r="X2" s="70"/>
      <c r="Y2" s="5"/>
      <c r="Z2" s="5"/>
    </row>
    <row r="3" spans="1:31" s="4" customFormat="1" ht="15" customHeight="1">
      <c r="A3" s="126"/>
      <c r="B3" s="186"/>
      <c r="C3" s="186"/>
      <c r="D3" s="186"/>
      <c r="E3" s="68"/>
      <c r="F3" s="186"/>
      <c r="G3" s="186"/>
      <c r="H3" s="186"/>
      <c r="I3" s="186"/>
      <c r="J3" s="69"/>
      <c r="K3" s="186"/>
      <c r="L3" s="186"/>
      <c r="M3" s="186"/>
      <c r="N3" s="186"/>
      <c r="O3" s="186"/>
      <c r="P3" s="186"/>
      <c r="Q3" s="186"/>
      <c r="R3" s="186"/>
      <c r="S3" s="186"/>
      <c r="T3" s="46"/>
      <c r="U3" s="118"/>
      <c r="V3" s="119"/>
      <c r="W3" s="70"/>
      <c r="X3" s="70"/>
      <c r="Y3" s="5"/>
      <c r="Z3" s="5"/>
    </row>
    <row r="4" spans="1:31" s="92" customFormat="1" ht="14.25" customHeight="1">
      <c r="A4" s="90"/>
      <c r="B4" s="91"/>
      <c r="C4" s="91"/>
      <c r="D4" s="91"/>
      <c r="E4" s="175">
        <f>'CC - 8'!$E$4</f>
        <v>42948</v>
      </c>
      <c r="F4" s="91"/>
      <c r="G4" s="91"/>
      <c r="H4" s="91"/>
      <c r="I4" s="91"/>
      <c r="J4" s="91"/>
      <c r="K4" s="91"/>
      <c r="L4" s="91"/>
      <c r="M4" s="91"/>
      <c r="N4" s="148">
        <v>0.08</v>
      </c>
      <c r="O4" s="148">
        <v>1.4999999999999999E-2</v>
      </c>
      <c r="P4" s="148">
        <v>0.01</v>
      </c>
      <c r="Q4" s="91"/>
      <c r="R4" s="91"/>
      <c r="S4" s="91"/>
      <c r="T4" s="91"/>
      <c r="U4" s="91"/>
      <c r="V4" s="93"/>
      <c r="W4" s="93"/>
      <c r="X4" s="93"/>
      <c r="Y4" s="93"/>
      <c r="Z4" s="93"/>
    </row>
    <row r="5" spans="1:31" s="21" customFormat="1" ht="24" customHeight="1">
      <c r="A5" s="278" t="s">
        <v>19</v>
      </c>
      <c r="B5" s="278" t="s">
        <v>20</v>
      </c>
      <c r="C5" s="232" t="s">
        <v>1</v>
      </c>
      <c r="D5" s="232" t="s">
        <v>2</v>
      </c>
      <c r="E5" s="235" t="s">
        <v>49</v>
      </c>
      <c r="F5" s="280" t="s">
        <v>24</v>
      </c>
      <c r="G5" s="281"/>
      <c r="H5" s="281"/>
      <c r="I5" s="281"/>
      <c r="J5" s="281"/>
      <c r="K5" s="282"/>
      <c r="L5" s="269" t="s">
        <v>50</v>
      </c>
      <c r="M5" s="269" t="s">
        <v>5</v>
      </c>
      <c r="N5" s="232" t="s">
        <v>6</v>
      </c>
      <c r="O5" s="232"/>
      <c r="P5" s="232"/>
      <c r="Q5" s="269" t="s">
        <v>7</v>
      </c>
      <c r="R5" s="269" t="s">
        <v>8</v>
      </c>
      <c r="S5" s="269" t="s">
        <v>9</v>
      </c>
      <c r="T5" s="233" t="s">
        <v>10</v>
      </c>
      <c r="U5" s="91"/>
      <c r="V5" s="22"/>
      <c r="W5" s="22"/>
      <c r="X5" s="5"/>
      <c r="Y5" s="5"/>
      <c r="Z5" s="5"/>
      <c r="AA5" s="4"/>
      <c r="AB5" s="4"/>
      <c r="AC5" s="4"/>
      <c r="AD5" s="4"/>
      <c r="AE5" s="4"/>
    </row>
    <row r="6" spans="1:31" s="21" customFormat="1" ht="33.75" customHeight="1">
      <c r="A6" s="279"/>
      <c r="B6" s="279"/>
      <c r="C6" s="232"/>
      <c r="D6" s="232"/>
      <c r="E6" s="235"/>
      <c r="F6" s="280" t="s">
        <v>52</v>
      </c>
      <c r="G6" s="282"/>
      <c r="H6" s="280" t="s">
        <v>71</v>
      </c>
      <c r="I6" s="281"/>
      <c r="J6" s="267" t="s">
        <v>25</v>
      </c>
      <c r="K6" s="269" t="s">
        <v>4</v>
      </c>
      <c r="L6" s="270"/>
      <c r="M6" s="270"/>
      <c r="N6" s="271" t="s">
        <v>12</v>
      </c>
      <c r="O6" s="269" t="s">
        <v>13</v>
      </c>
      <c r="P6" s="269" t="s">
        <v>31</v>
      </c>
      <c r="Q6" s="270"/>
      <c r="R6" s="270"/>
      <c r="S6" s="270"/>
      <c r="T6" s="234"/>
      <c r="U6" s="91"/>
      <c r="V6" s="22"/>
      <c r="W6" s="22"/>
      <c r="X6" s="5"/>
      <c r="Y6" s="5"/>
      <c r="Z6" s="5"/>
      <c r="AA6" s="4"/>
      <c r="AB6" s="4"/>
      <c r="AC6" s="4"/>
      <c r="AD6" s="4"/>
      <c r="AE6" s="4"/>
    </row>
    <row r="7" spans="1:31" s="21" customFormat="1" ht="35.25" customHeight="1">
      <c r="A7" s="279"/>
      <c r="B7" s="279"/>
      <c r="C7" s="269"/>
      <c r="D7" s="269"/>
      <c r="E7" s="235"/>
      <c r="F7" s="185" t="s">
        <v>34</v>
      </c>
      <c r="G7" s="183" t="s">
        <v>18</v>
      </c>
      <c r="H7" s="185" t="s">
        <v>34</v>
      </c>
      <c r="I7" s="115" t="s">
        <v>18</v>
      </c>
      <c r="J7" s="268"/>
      <c r="K7" s="270"/>
      <c r="L7" s="283"/>
      <c r="M7" s="283"/>
      <c r="N7" s="272"/>
      <c r="O7" s="270"/>
      <c r="P7" s="270"/>
      <c r="Q7" s="270"/>
      <c r="R7" s="270"/>
      <c r="S7" s="270"/>
      <c r="T7" s="234"/>
      <c r="U7" s="91"/>
      <c r="V7" s="22"/>
      <c r="W7" s="22"/>
      <c r="X7" s="5"/>
      <c r="Y7" s="5"/>
      <c r="Z7" s="5"/>
      <c r="AA7" s="4"/>
      <c r="AB7" s="4"/>
      <c r="AC7" s="4"/>
      <c r="AD7" s="4"/>
      <c r="AE7" s="4"/>
    </row>
    <row r="8" spans="1:31" s="72" customFormat="1" ht="12.75" customHeight="1">
      <c r="A8" s="71">
        <v>1</v>
      </c>
      <c r="B8" s="71">
        <v>1</v>
      </c>
      <c r="C8" s="71">
        <v>2</v>
      </c>
      <c r="D8" s="71">
        <v>3</v>
      </c>
      <c r="E8" s="71">
        <v>4</v>
      </c>
      <c r="F8" s="71">
        <v>5</v>
      </c>
      <c r="G8" s="71">
        <v>6</v>
      </c>
      <c r="H8" s="71">
        <v>7</v>
      </c>
      <c r="I8" s="71">
        <v>8</v>
      </c>
      <c r="J8" s="71">
        <v>9</v>
      </c>
      <c r="K8" s="71">
        <v>10</v>
      </c>
      <c r="L8" s="71">
        <v>11</v>
      </c>
      <c r="M8" s="71">
        <v>12</v>
      </c>
      <c r="N8" s="71">
        <v>13</v>
      </c>
      <c r="O8" s="71">
        <v>14</v>
      </c>
      <c r="P8" s="71">
        <v>15</v>
      </c>
      <c r="Q8" s="71">
        <v>16</v>
      </c>
      <c r="R8" s="71">
        <v>17</v>
      </c>
      <c r="S8" s="71">
        <v>18</v>
      </c>
      <c r="T8" s="71">
        <v>19</v>
      </c>
      <c r="U8" s="91"/>
      <c r="V8" s="73"/>
      <c r="W8" s="73"/>
      <c r="X8" s="74"/>
      <c r="Y8" s="74"/>
      <c r="Z8" s="74"/>
      <c r="AA8" s="75"/>
      <c r="AB8" s="75"/>
      <c r="AC8" s="75"/>
      <c r="AD8" s="75"/>
      <c r="AE8" s="75"/>
    </row>
    <row r="9" spans="1:31" s="72" customFormat="1" ht="24" customHeight="1">
      <c r="A9" s="174" t="s">
        <v>68</v>
      </c>
      <c r="B9" s="173" t="s">
        <v>80</v>
      </c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2"/>
      <c r="Q9" s="172"/>
      <c r="R9" s="172"/>
      <c r="S9" s="172"/>
      <c r="T9" s="172"/>
      <c r="U9" s="91"/>
      <c r="V9" s="73"/>
      <c r="W9" s="73"/>
      <c r="X9" s="74"/>
      <c r="Y9" s="74"/>
      <c r="Z9" s="74"/>
      <c r="AA9" s="75"/>
      <c r="AB9" s="75"/>
      <c r="AC9" s="75"/>
      <c r="AD9" s="75"/>
      <c r="AE9" s="75"/>
    </row>
    <row r="10" spans="1:31" s="29" customFormat="1" ht="24" customHeight="1">
      <c r="A10" s="31">
        <v>1</v>
      </c>
      <c r="B10" s="128" t="s">
        <v>74</v>
      </c>
      <c r="C10" s="76" t="str">
        <f t="shared" ref="C10" si="0">VLOOKUP(B10,DS,2,0)</f>
        <v>Nguyễn Thị Kim Quyên</v>
      </c>
      <c r="D10" s="103" t="str">
        <f t="shared" ref="D10" si="1">VLOOKUP(B10,DS,3,0)</f>
        <v>Văn Phòng</v>
      </c>
      <c r="E10" s="77">
        <f t="shared" ref="E10" si="2">VLOOKUP(B10,DS,4,0)</f>
        <v>4000000</v>
      </c>
      <c r="F10" s="79">
        <f>VLOOKUP(B10,'CC - 8'!$B$8:$AS$17,36,0)</f>
        <v>27</v>
      </c>
      <c r="G10" s="132">
        <f t="shared" ref="G10" si="3">ROUND(E10/$U$2*F10,0)</f>
        <v>4000000</v>
      </c>
      <c r="H10" s="79">
        <f>(VLOOKUP(B10,'CC - 8'!$B$8:$AS$17,37,0)+VLOOKUP(B10,'CC - 8'!$B$8:$AS$17,38,0))</f>
        <v>0</v>
      </c>
      <c r="I10" s="132">
        <f t="shared" ref="I10" si="4">ROUND(E10/$U$2*H10,0)</f>
        <v>0</v>
      </c>
      <c r="J10" s="80">
        <f t="shared" ref="J10" si="5">F10+H10</f>
        <v>27</v>
      </c>
      <c r="K10" s="32">
        <f>G10+I10</f>
        <v>4000000</v>
      </c>
      <c r="L10" s="77">
        <f t="shared" ref="L10" si="6">+F10*15000</f>
        <v>405000</v>
      </c>
      <c r="M10" s="33">
        <f t="shared" ref="M10" si="7">K10+L10</f>
        <v>4405000</v>
      </c>
      <c r="N10" s="33">
        <f>IF(VLOOKUP($B10,DS,23,0)="x",$E10*N$4,0)</f>
        <v>0</v>
      </c>
      <c r="O10" s="33">
        <f>IF(VLOOKUP($B10,DS,23,0)="x",$E10*O$4,0)</f>
        <v>0</v>
      </c>
      <c r="P10" s="33">
        <f>IF(VLOOKUP($B10,DS,23,0)="x",$E10*P$4,0)</f>
        <v>0</v>
      </c>
      <c r="Q10" s="32">
        <f t="shared" ref="Q10" si="8">M10-SUM(N10:P10)</f>
        <v>4405000</v>
      </c>
      <c r="R10" s="32">
        <f>VLOOKUP(B10,DS,23,0)</f>
        <v>0</v>
      </c>
      <c r="S10" s="38">
        <f t="shared" ref="S10" si="9">Q10-R10</f>
        <v>4405000</v>
      </c>
      <c r="T10" s="32"/>
      <c r="U10" s="91"/>
      <c r="V10" s="30"/>
      <c r="W10" s="22"/>
      <c r="X10" s="5"/>
      <c r="Y10" s="5"/>
      <c r="Z10" s="5"/>
      <c r="AA10" s="4"/>
      <c r="AB10" s="4"/>
      <c r="AC10" s="4"/>
      <c r="AD10" s="4"/>
      <c r="AE10" s="4"/>
    </row>
    <row r="11" spans="1:31" s="29" customFormat="1" ht="24" customHeight="1">
      <c r="A11" s="187"/>
      <c r="B11" s="188"/>
      <c r="C11" s="189"/>
      <c r="D11" s="190"/>
      <c r="E11" s="191"/>
      <c r="F11" s="192"/>
      <c r="G11" s="193"/>
      <c r="H11" s="192"/>
      <c r="I11" s="193"/>
      <c r="J11" s="194"/>
      <c r="K11" s="195"/>
      <c r="L11" s="191"/>
      <c r="M11" s="196"/>
      <c r="N11" s="196"/>
      <c r="O11" s="196"/>
      <c r="P11" s="196"/>
      <c r="Q11" s="195"/>
      <c r="R11" s="195"/>
      <c r="S11" s="197"/>
      <c r="T11" s="195"/>
      <c r="U11" s="91"/>
      <c r="V11" s="30"/>
      <c r="W11" s="22"/>
      <c r="X11" s="5"/>
      <c r="Y11" s="5"/>
      <c r="Z11" s="5"/>
      <c r="AA11" s="4"/>
      <c r="AB11" s="4"/>
      <c r="AC11" s="4"/>
      <c r="AD11" s="4"/>
      <c r="AE11" s="4"/>
    </row>
    <row r="12" spans="1:31" s="25" customFormat="1" ht="21" customHeight="1">
      <c r="A12" s="221" t="s">
        <v>23</v>
      </c>
      <c r="B12" s="222"/>
      <c r="C12" s="222"/>
      <c r="D12" s="223"/>
      <c r="E12" s="127">
        <f>SUM(E9:E10)</f>
        <v>4000000</v>
      </c>
      <c r="F12" s="127"/>
      <c r="G12" s="127">
        <f>SUM(G9:G10)</f>
        <v>4000000</v>
      </c>
      <c r="H12" s="127"/>
      <c r="I12" s="127">
        <f>SUM(I9:I10)</f>
        <v>0</v>
      </c>
      <c r="J12" s="127"/>
      <c r="K12" s="127">
        <f t="shared" ref="K12:S12" si="10">SUM(K9:K10)</f>
        <v>4000000</v>
      </c>
      <c r="L12" s="127">
        <f t="shared" si="10"/>
        <v>405000</v>
      </c>
      <c r="M12" s="127">
        <f t="shared" si="10"/>
        <v>4405000</v>
      </c>
      <c r="N12" s="127">
        <f t="shared" si="10"/>
        <v>0</v>
      </c>
      <c r="O12" s="127">
        <f t="shared" si="10"/>
        <v>0</v>
      </c>
      <c r="P12" s="127">
        <f t="shared" si="10"/>
        <v>0</v>
      </c>
      <c r="Q12" s="127">
        <f t="shared" si="10"/>
        <v>4405000</v>
      </c>
      <c r="R12" s="127">
        <f t="shared" si="10"/>
        <v>0</v>
      </c>
      <c r="S12" s="127">
        <f t="shared" si="10"/>
        <v>4405000</v>
      </c>
      <c r="T12" s="20"/>
      <c r="U12" s="91"/>
      <c r="V12" s="26"/>
      <c r="W12" s="26"/>
      <c r="X12" s="26"/>
      <c r="Y12" s="26"/>
      <c r="Z12" s="26"/>
    </row>
    <row r="13" spans="1:31" s="72" customFormat="1" ht="24" customHeight="1">
      <c r="A13" s="174" t="s">
        <v>69</v>
      </c>
      <c r="B13" s="173" t="s">
        <v>70</v>
      </c>
      <c r="C13" s="172"/>
      <c r="D13" s="172"/>
      <c r="E13" s="172"/>
      <c r="F13" s="172"/>
      <c r="G13" s="172"/>
      <c r="H13" s="172"/>
      <c r="I13" s="172"/>
      <c r="J13" s="172"/>
      <c r="K13" s="172"/>
      <c r="L13" s="172"/>
      <c r="M13" s="172"/>
      <c r="N13" s="172"/>
      <c r="O13" s="172"/>
      <c r="P13" s="172"/>
      <c r="Q13" s="172"/>
      <c r="R13" s="172"/>
      <c r="S13" s="172"/>
      <c r="T13" s="172"/>
      <c r="U13" s="91"/>
      <c r="V13" s="73"/>
      <c r="W13" s="73"/>
      <c r="X13" s="74"/>
      <c r="Y13" s="74"/>
      <c r="Z13" s="74"/>
      <c r="AA13" s="75"/>
      <c r="AB13" s="75"/>
      <c r="AC13" s="75"/>
      <c r="AD13" s="75"/>
      <c r="AE13" s="75"/>
    </row>
    <row r="14" spans="1:31" s="29" customFormat="1" ht="24" customHeight="1">
      <c r="A14" s="31">
        <v>1</v>
      </c>
      <c r="B14" s="128" t="s">
        <v>75</v>
      </c>
      <c r="C14" s="76" t="str">
        <f t="shared" ref="C14:C16" si="11">VLOOKUP(B14,DS,2,0)</f>
        <v>Lê Văn Hữu</v>
      </c>
      <c r="D14" s="103" t="str">
        <f t="shared" ref="D14:D16" si="12">VLOOKUP(B14,DS,3,0)</f>
        <v>Công Đoạn 1</v>
      </c>
      <c r="E14" s="77">
        <f t="shared" ref="E14:E16" si="13">VLOOKUP(B14,DS,4,0)</f>
        <v>3200000</v>
      </c>
      <c r="F14" s="79">
        <f>VLOOKUP(B14,'CC - 8'!$B$8:$AS$17,36,0)</f>
        <v>27</v>
      </c>
      <c r="G14" s="132">
        <f t="shared" ref="G14:G16" si="14">ROUND(E14/$U$2*F14,0)</f>
        <v>3200000</v>
      </c>
      <c r="H14" s="79">
        <f>(VLOOKUP(B14,'CC - 8'!$B$8:$AS$17,37,0)+VLOOKUP(B14,'CC - 8'!$B$8:$AS$17,38,0))</f>
        <v>0</v>
      </c>
      <c r="I14" s="132">
        <f t="shared" ref="I14:I16" si="15">ROUND(E14/$U$2*H14,0)</f>
        <v>0</v>
      </c>
      <c r="J14" s="133">
        <f t="shared" ref="J14:K16" si="16">F14+H14</f>
        <v>27</v>
      </c>
      <c r="K14" s="32">
        <f t="shared" si="16"/>
        <v>3200000</v>
      </c>
      <c r="L14" s="77">
        <f t="shared" ref="L14:L16" si="17">+F14*15000</f>
        <v>405000</v>
      </c>
      <c r="M14" s="33">
        <f t="shared" ref="M14:M16" si="18">K14+L14</f>
        <v>3605000</v>
      </c>
      <c r="N14" s="33">
        <f t="shared" ref="N14:P16" si="19">IF(VLOOKUP($B14,DS,23,0)="x",$E14*N$4,0)</f>
        <v>0</v>
      </c>
      <c r="O14" s="33">
        <f t="shared" si="19"/>
        <v>0</v>
      </c>
      <c r="P14" s="33">
        <f t="shared" si="19"/>
        <v>0</v>
      </c>
      <c r="Q14" s="32">
        <f>M14-SUM(N14:P14)</f>
        <v>3605000</v>
      </c>
      <c r="R14" s="32">
        <f t="shared" ref="R14:R16" si="20">VLOOKUP(B14,DS,23,0)</f>
        <v>0</v>
      </c>
      <c r="S14" s="38">
        <f>Q14-R14</f>
        <v>3605000</v>
      </c>
      <c r="T14" s="32"/>
      <c r="U14" s="91"/>
      <c r="V14" s="30"/>
      <c r="W14" s="22"/>
      <c r="X14" s="5"/>
      <c r="Y14" s="5"/>
      <c r="Z14" s="5"/>
      <c r="AA14" s="4"/>
      <c r="AB14" s="4"/>
      <c r="AC14" s="4"/>
      <c r="AD14" s="4"/>
      <c r="AE14" s="4"/>
    </row>
    <row r="15" spans="1:31" s="29" customFormat="1" ht="24" customHeight="1">
      <c r="A15" s="31">
        <v>2</v>
      </c>
      <c r="B15" s="128" t="s">
        <v>76</v>
      </c>
      <c r="C15" s="76" t="str">
        <f t="shared" ref="C15" si="21">VLOOKUP(B15,DS,2,0)</f>
        <v>Lý Thanh Hải</v>
      </c>
      <c r="D15" s="103" t="str">
        <f t="shared" ref="D15" si="22">VLOOKUP(B15,DS,3,0)</f>
        <v>Công Đoạn 1</v>
      </c>
      <c r="E15" s="77">
        <f t="shared" ref="E15" si="23">VLOOKUP(B15,DS,4,0)</f>
        <v>5000000</v>
      </c>
      <c r="F15" s="79">
        <f>VLOOKUP(B15,'CC - 8'!$B$8:$AS$17,36,0)</f>
        <v>27</v>
      </c>
      <c r="G15" s="132">
        <f t="shared" ref="G15" si="24">ROUND(E15/$U$2*F15,0)</f>
        <v>5000000</v>
      </c>
      <c r="H15" s="79">
        <f>(VLOOKUP(B15,'CC - 8'!$B$8:$AS$17,37,0)+VLOOKUP(B15,'CC - 8'!$B$8:$AS$17,38,0))</f>
        <v>0</v>
      </c>
      <c r="I15" s="132">
        <f t="shared" ref="I15" si="25">ROUND(E15/$U$2*H15,0)</f>
        <v>0</v>
      </c>
      <c r="J15" s="133">
        <f t="shared" ref="J15" si="26">F15+H15</f>
        <v>27</v>
      </c>
      <c r="K15" s="32">
        <f t="shared" ref="K15" si="27">G15+I15</f>
        <v>5000000</v>
      </c>
      <c r="L15" s="77">
        <f t="shared" ref="L15" si="28">+F15*15000</f>
        <v>405000</v>
      </c>
      <c r="M15" s="33">
        <f t="shared" ref="M15" si="29">K15+L15</f>
        <v>5405000</v>
      </c>
      <c r="N15" s="33">
        <f t="shared" si="19"/>
        <v>0</v>
      </c>
      <c r="O15" s="33">
        <f t="shared" si="19"/>
        <v>0</v>
      </c>
      <c r="P15" s="33">
        <f t="shared" si="19"/>
        <v>0</v>
      </c>
      <c r="Q15" s="32">
        <f t="shared" ref="Q15" si="30">M15-SUM(N15:P15)</f>
        <v>5405000</v>
      </c>
      <c r="R15" s="32">
        <f t="shared" ref="R15" si="31">VLOOKUP(B15,DS,23,0)</f>
        <v>0</v>
      </c>
      <c r="S15" s="38">
        <f t="shared" ref="S15" si="32">Q15-R15</f>
        <v>5405000</v>
      </c>
      <c r="T15" s="32"/>
      <c r="U15" s="91"/>
      <c r="V15" s="30"/>
      <c r="W15" s="22"/>
      <c r="X15" s="5"/>
      <c r="Y15" s="5"/>
      <c r="Z15" s="5"/>
      <c r="AA15" s="4"/>
      <c r="AB15" s="4"/>
      <c r="AC15" s="4"/>
      <c r="AD15" s="4"/>
      <c r="AE15" s="4"/>
    </row>
    <row r="16" spans="1:31" s="29" customFormat="1" ht="24" customHeight="1">
      <c r="A16" s="31">
        <v>3</v>
      </c>
      <c r="B16" s="128" t="s">
        <v>77</v>
      </c>
      <c r="C16" s="76" t="str">
        <f t="shared" si="11"/>
        <v>Cao Minh Chí</v>
      </c>
      <c r="D16" s="103" t="str">
        <f t="shared" si="12"/>
        <v>Công Đoạn 2</v>
      </c>
      <c r="E16" s="77">
        <f t="shared" si="13"/>
        <v>3200000</v>
      </c>
      <c r="F16" s="79">
        <f>VLOOKUP(B16,'CC - 8'!$B$8:$AS$17,36,0)</f>
        <v>27</v>
      </c>
      <c r="G16" s="132">
        <f t="shared" si="14"/>
        <v>3200000</v>
      </c>
      <c r="H16" s="79">
        <f>(VLOOKUP(B16,'CC - 8'!$B$8:$AS$17,37,0)+VLOOKUP(B16,'CC - 8'!$B$8:$AS$17,38,0))</f>
        <v>0</v>
      </c>
      <c r="I16" s="132">
        <f t="shared" si="15"/>
        <v>0</v>
      </c>
      <c r="J16" s="133">
        <f t="shared" si="16"/>
        <v>27</v>
      </c>
      <c r="K16" s="32">
        <f t="shared" si="16"/>
        <v>3200000</v>
      </c>
      <c r="L16" s="77">
        <f t="shared" si="17"/>
        <v>405000</v>
      </c>
      <c r="M16" s="33">
        <f t="shared" si="18"/>
        <v>3605000</v>
      </c>
      <c r="N16" s="33">
        <f t="shared" si="19"/>
        <v>0</v>
      </c>
      <c r="O16" s="33">
        <f t="shared" si="19"/>
        <v>0</v>
      </c>
      <c r="P16" s="33">
        <f t="shared" si="19"/>
        <v>0</v>
      </c>
      <c r="Q16" s="32">
        <f t="shared" ref="Q16" si="33">M16-SUM(N16:P16)</f>
        <v>3605000</v>
      </c>
      <c r="R16" s="32">
        <f t="shared" si="20"/>
        <v>0</v>
      </c>
      <c r="S16" s="38">
        <f t="shared" ref="S16" si="34">Q16-R16</f>
        <v>3605000</v>
      </c>
      <c r="T16" s="32"/>
      <c r="U16" s="91"/>
      <c r="V16" s="30"/>
      <c r="W16" s="22"/>
      <c r="X16" s="5"/>
      <c r="Y16" s="5"/>
      <c r="Z16" s="5"/>
      <c r="AA16" s="4"/>
      <c r="AB16" s="4"/>
      <c r="AC16" s="4"/>
      <c r="AD16" s="4"/>
      <c r="AE16" s="4"/>
    </row>
    <row r="17" spans="1:26" s="29" customFormat="1" ht="22.5" customHeight="1">
      <c r="A17" s="34"/>
      <c r="B17" s="171"/>
      <c r="C17" s="35"/>
      <c r="D17" s="3"/>
      <c r="E17" s="36"/>
      <c r="F17" s="36"/>
      <c r="G17" s="36"/>
      <c r="H17" s="36"/>
      <c r="I17" s="36"/>
      <c r="J17" s="37"/>
      <c r="K17" s="36"/>
      <c r="L17" s="36"/>
      <c r="M17" s="170"/>
      <c r="N17" s="36"/>
      <c r="O17" s="36"/>
      <c r="P17" s="36"/>
      <c r="Q17" s="36"/>
      <c r="R17" s="36"/>
      <c r="S17" s="36"/>
      <c r="T17" s="32"/>
      <c r="U17" s="91"/>
      <c r="V17" s="30"/>
      <c r="W17" s="30"/>
      <c r="X17" s="30"/>
      <c r="Y17" s="30"/>
      <c r="Z17" s="30"/>
    </row>
    <row r="18" spans="1:26" s="25" customFormat="1" ht="21" customHeight="1">
      <c r="A18" s="221" t="s">
        <v>23</v>
      </c>
      <c r="B18" s="222"/>
      <c r="C18" s="222"/>
      <c r="D18" s="223"/>
      <c r="E18" s="127">
        <f>SUM(E13:E17)</f>
        <v>11400000</v>
      </c>
      <c r="F18" s="127"/>
      <c r="G18" s="127">
        <f>SUM(G13:G17)</f>
        <v>11400000</v>
      </c>
      <c r="H18" s="127"/>
      <c r="I18" s="127">
        <f>SUM(I13:I17)</f>
        <v>0</v>
      </c>
      <c r="J18" s="127"/>
      <c r="K18" s="127">
        <f t="shared" ref="K18:S18" si="35">SUM(K13:K17)</f>
        <v>11400000</v>
      </c>
      <c r="L18" s="127">
        <f t="shared" si="35"/>
        <v>1215000</v>
      </c>
      <c r="M18" s="127">
        <f t="shared" si="35"/>
        <v>12615000</v>
      </c>
      <c r="N18" s="127">
        <f t="shared" si="35"/>
        <v>0</v>
      </c>
      <c r="O18" s="127">
        <f t="shared" si="35"/>
        <v>0</v>
      </c>
      <c r="P18" s="127">
        <f t="shared" si="35"/>
        <v>0</v>
      </c>
      <c r="Q18" s="127">
        <f t="shared" si="35"/>
        <v>12615000</v>
      </c>
      <c r="R18" s="127">
        <f t="shared" si="35"/>
        <v>0</v>
      </c>
      <c r="S18" s="127">
        <f t="shared" si="35"/>
        <v>12615000</v>
      </c>
      <c r="T18" s="20"/>
      <c r="U18" s="91"/>
      <c r="V18" s="26"/>
      <c r="W18" s="26"/>
      <c r="X18" s="26"/>
      <c r="Y18" s="26"/>
      <c r="Z18" s="26"/>
    </row>
    <row r="19" spans="1:26" ht="11.25" customHeight="1">
      <c r="A19" s="8"/>
      <c r="B19" s="8"/>
      <c r="C19" s="9"/>
      <c r="D19" s="104"/>
      <c r="E19" s="81"/>
      <c r="F19" s="9"/>
      <c r="G19" s="9"/>
      <c r="H19" s="9"/>
      <c r="I19" s="9"/>
      <c r="K19" s="9"/>
      <c r="L19" s="9"/>
      <c r="M19" s="89"/>
      <c r="N19" s="9"/>
      <c r="O19" s="9"/>
      <c r="P19" s="9"/>
      <c r="Q19" s="9"/>
      <c r="R19" s="9"/>
      <c r="S19" s="9"/>
      <c r="T19" s="9"/>
      <c r="U19" s="91"/>
    </row>
    <row r="20" spans="1:26" s="29" customFormat="1" ht="11.25" customHeight="1">
      <c r="A20" s="65"/>
      <c r="B20" s="65"/>
      <c r="C20" s="65"/>
      <c r="D20" s="120"/>
      <c r="E20" s="121"/>
      <c r="F20" s="65"/>
      <c r="G20" s="65"/>
      <c r="H20" s="65"/>
      <c r="I20" s="65"/>
      <c r="J20" s="122"/>
      <c r="K20" s="121"/>
      <c r="L20" s="65"/>
      <c r="M20" s="65"/>
      <c r="N20" s="65"/>
      <c r="O20" s="65"/>
      <c r="P20" s="65"/>
      <c r="Q20" s="65"/>
      <c r="R20" s="65"/>
      <c r="S20" s="95" t="str">
        <f>"Bình Chánh, ngày  "&amp;$V$2&amp;"   tháng   "&amp;TEXT($E$4,"mm")&amp;"   năm "&amp;TEXT($E$4,"yyyy")</f>
        <v>Bình Chánh, ngày  31   tháng   08   năm 2017</v>
      </c>
      <c r="T20" s="65"/>
      <c r="U20" s="123"/>
      <c r="V20" s="30"/>
      <c r="W20" s="30"/>
      <c r="X20" s="30"/>
      <c r="Y20" s="30"/>
      <c r="Z20" s="30"/>
    </row>
    <row r="21" spans="1:26" s="29" customFormat="1" ht="12.75">
      <c r="A21" s="23"/>
      <c r="B21" s="23"/>
      <c r="C21" s="23" t="s">
        <v>53</v>
      </c>
      <c r="D21" s="124"/>
      <c r="E21" s="66"/>
      <c r="F21" s="123"/>
      <c r="G21" s="66"/>
      <c r="H21" s="66"/>
      <c r="I21" s="66"/>
      <c r="J21" s="125"/>
      <c r="K21" s="30"/>
      <c r="L21" s="23"/>
      <c r="M21" s="134"/>
      <c r="N21" s="19"/>
      <c r="O21" s="19"/>
      <c r="P21" s="19"/>
      <c r="Q21" s="19"/>
      <c r="S21" s="123" t="s">
        <v>21</v>
      </c>
      <c r="T21" s="123"/>
      <c r="U21" s="123"/>
      <c r="V21" s="30"/>
      <c r="W21" s="30"/>
      <c r="X21" s="30"/>
      <c r="Y21" s="30"/>
      <c r="Z21" s="30"/>
    </row>
    <row r="22" spans="1:26" ht="12">
      <c r="A22" s="8"/>
      <c r="B22" s="8"/>
      <c r="C22" s="15"/>
      <c r="E22" s="13"/>
      <c r="F22" s="12"/>
      <c r="G22" s="13"/>
      <c r="H22" s="13"/>
      <c r="I22" s="13"/>
      <c r="K22" s="7"/>
      <c r="L22" s="15"/>
      <c r="N22" s="11"/>
      <c r="O22" s="11"/>
      <c r="P22" s="11"/>
      <c r="Q22" s="11"/>
      <c r="S22" s="11"/>
      <c r="T22" s="12"/>
      <c r="U22" s="91"/>
    </row>
    <row r="23" spans="1:26" ht="12">
      <c r="C23" s="15"/>
      <c r="L23" s="15"/>
      <c r="T23" s="15"/>
      <c r="U23" s="91"/>
    </row>
    <row r="24" spans="1:26" ht="12">
      <c r="U24" s="91"/>
    </row>
    <row r="25" spans="1:26" ht="12">
      <c r="U25" s="91"/>
    </row>
    <row r="26" spans="1:26" ht="12">
      <c r="U26" s="91"/>
    </row>
    <row r="27" spans="1:26" ht="12">
      <c r="U27" s="91"/>
    </row>
    <row r="28" spans="1:26" ht="12">
      <c r="U28" s="91"/>
    </row>
    <row r="29" spans="1:26" ht="12">
      <c r="U29" s="91"/>
    </row>
  </sheetData>
  <protectedRanges>
    <protectedRange password="CC78" sqref="V17:IK18 C5:D7 B21:C21 V5:W9 A17:A22 B17:B20 B22 V13:W13 Q5:T7 E5:I6 D18 N5:P6 L5 L21 J6:K7 L7 A24:T57 U30:U57 N17:S17 V24:IK57 J17:L17 A58:IK65325 AF13:IK13 V12:IK12 D12 Q10:S11 W10:W11 AF5:IK11 A10:B12" name="Range1"/>
    <protectedRange password="CC78" sqref="F7:H7" name="Range1_4"/>
    <protectedRange password="CC78" sqref="V21:IK22 S21:T22 N21:Q22 E21:I22" name="Range1_1_1"/>
    <protectedRange password="CC78" sqref="U1 W1:IK3 V4:IK4 B4:T4 R2:S3 B1:Q3 U17:U29 X13:AE13 U4:U13 X5:AE11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AF14:IK16 Q14:S16 W14:W16 A14:B16" name="Range1_5"/>
    <protectedRange password="CC78" sqref="X14:AE16 U14:U16" name="Range1_2_3"/>
    <protectedRange password="CC78" sqref="V14:V16" name="Range1_1_3"/>
    <protectedRange password="CC78" sqref="K10:K11 K14:K16" name="Range1_6"/>
    <protectedRange password="CC78" sqref="A2:A3" name="Range1_2_1_3"/>
    <protectedRange password="CC78" sqref="E12:T12" name="Range1_3"/>
    <protectedRange password="CC78" sqref="E18:T18" name="Range1_7"/>
    <protectedRange password="CC78" sqref="U2" name="Range1_2_2_1_1"/>
  </protectedRanges>
  <autoFilter ref="A7:AE10"/>
  <mergeCells count="22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F12" sqref="F12:AI1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82" customWidth="1"/>
    <col min="5" max="5" width="7.140625" style="2" customWidth="1"/>
    <col min="6" max="33" width="3.42578125" style="110" customWidth="1"/>
    <col min="34" max="35" width="3.42578125" style="111" customWidth="1"/>
    <col min="36" max="36" width="3.42578125" style="111" hidden="1" customWidth="1"/>
    <col min="37" max="38" width="4.42578125" style="2" customWidth="1"/>
    <col min="39" max="39" width="5.5703125" style="8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6"/>
      <c r="B1" s="41"/>
      <c r="C1" s="41"/>
      <c r="D1" s="45"/>
      <c r="E1" s="41"/>
      <c r="F1" s="45"/>
      <c r="G1" s="45"/>
      <c r="H1" s="45"/>
      <c r="I1" s="45"/>
      <c r="J1" s="45"/>
      <c r="K1" s="106"/>
      <c r="L1" s="106"/>
      <c r="M1" s="106"/>
      <c r="N1" s="106"/>
      <c r="O1" s="106"/>
      <c r="P1" s="106"/>
      <c r="Q1" s="106"/>
      <c r="R1" s="106"/>
      <c r="S1" s="43" t="str">
        <f>CONCATENATE("BẢNG CHẤM CÔNG THÁNG ",TEXT($E$4,"mm")," NĂM ",TEXT($E$4,"yyyy"))</f>
        <v>BẢNG CHẤM CÔNG THÁNG 09 NĂM 2017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42"/>
      <c r="AL1" s="42"/>
      <c r="AM1" s="259" t="s">
        <v>79</v>
      </c>
      <c r="AN1" s="260"/>
      <c r="AO1" s="260"/>
      <c r="AP1" s="260"/>
      <c r="AQ1" s="260"/>
      <c r="AR1" s="260"/>
      <c r="AS1" s="261"/>
      <c r="AT1" s="44"/>
    </row>
    <row r="2" spans="1:91" ht="20.25">
      <c r="A2" s="126"/>
      <c r="B2" s="45"/>
      <c r="C2" s="45"/>
      <c r="D2" s="45"/>
      <c r="E2" s="45"/>
      <c r="F2" s="45"/>
      <c r="G2" s="45"/>
      <c r="H2" s="45"/>
      <c r="I2" s="45"/>
      <c r="J2" s="45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42"/>
      <c r="AL2" s="42"/>
      <c r="AM2" s="83"/>
      <c r="AN2" s="46"/>
      <c r="AO2" s="46"/>
      <c r="AP2" s="46"/>
      <c r="AQ2" s="46"/>
      <c r="AR2" s="46"/>
      <c r="AS2" s="82"/>
      <c r="AT2" s="82"/>
    </row>
    <row r="3" spans="1:91" ht="21" customHeight="1">
      <c r="A3" s="126"/>
      <c r="B3" s="47"/>
      <c r="C3" s="47"/>
      <c r="D3" s="48"/>
      <c r="E3" s="48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42"/>
      <c r="AL3" s="42"/>
      <c r="AM3" s="83"/>
      <c r="AN3" s="44"/>
      <c r="AO3" s="44"/>
      <c r="AP3" s="44"/>
      <c r="AQ3" s="44"/>
      <c r="AR3" s="44"/>
      <c r="AS3" s="49"/>
      <c r="AT3" s="49"/>
    </row>
    <row r="4" spans="1:91" ht="14.25" customHeight="1">
      <c r="A4" s="50"/>
      <c r="B4" s="50"/>
      <c r="C4" s="142"/>
      <c r="D4" s="141"/>
      <c r="E4" s="51">
        <v>42979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3"/>
      <c r="AI4" s="53"/>
      <c r="AJ4" s="53"/>
      <c r="AK4" s="50"/>
      <c r="AL4" s="50"/>
      <c r="AM4" s="84"/>
      <c r="AN4" s="50"/>
      <c r="AO4" s="50"/>
      <c r="AP4" s="50"/>
      <c r="AQ4" s="50"/>
      <c r="AR4" s="50"/>
      <c r="AS4" s="50"/>
      <c r="AT4" s="88"/>
    </row>
    <row r="5" spans="1:91" s="54" customFormat="1" ht="18.75" customHeight="1">
      <c r="A5" s="256" t="s">
        <v>26</v>
      </c>
      <c r="B5" s="256" t="s">
        <v>3</v>
      </c>
      <c r="C5" s="256" t="s">
        <v>1</v>
      </c>
      <c r="D5" s="258" t="s">
        <v>27</v>
      </c>
      <c r="E5" s="256" t="s">
        <v>28</v>
      </c>
      <c r="F5" s="105">
        <f>+E4</f>
        <v>42979</v>
      </c>
      <c r="G5" s="105">
        <f t="shared" ref="G5:AJ5" si="0">F5+1</f>
        <v>42980</v>
      </c>
      <c r="H5" s="105">
        <f t="shared" si="0"/>
        <v>42981</v>
      </c>
      <c r="I5" s="105">
        <f t="shared" si="0"/>
        <v>42982</v>
      </c>
      <c r="J5" s="105">
        <f t="shared" si="0"/>
        <v>42983</v>
      </c>
      <c r="K5" s="105">
        <f t="shared" si="0"/>
        <v>42984</v>
      </c>
      <c r="L5" s="105">
        <f t="shared" si="0"/>
        <v>42985</v>
      </c>
      <c r="M5" s="105">
        <f t="shared" si="0"/>
        <v>42986</v>
      </c>
      <c r="N5" s="105">
        <f t="shared" si="0"/>
        <v>42987</v>
      </c>
      <c r="O5" s="105">
        <f t="shared" si="0"/>
        <v>42988</v>
      </c>
      <c r="P5" s="105">
        <f t="shared" si="0"/>
        <v>42989</v>
      </c>
      <c r="Q5" s="105">
        <f t="shared" si="0"/>
        <v>42990</v>
      </c>
      <c r="R5" s="105">
        <f t="shared" si="0"/>
        <v>42991</v>
      </c>
      <c r="S5" s="105">
        <f t="shared" si="0"/>
        <v>42992</v>
      </c>
      <c r="T5" s="105">
        <f t="shared" si="0"/>
        <v>42993</v>
      </c>
      <c r="U5" s="105">
        <f t="shared" si="0"/>
        <v>42994</v>
      </c>
      <c r="V5" s="105">
        <f t="shared" si="0"/>
        <v>42995</v>
      </c>
      <c r="W5" s="105">
        <f t="shared" si="0"/>
        <v>42996</v>
      </c>
      <c r="X5" s="105">
        <f t="shared" si="0"/>
        <v>42997</v>
      </c>
      <c r="Y5" s="105">
        <f t="shared" si="0"/>
        <v>42998</v>
      </c>
      <c r="Z5" s="105">
        <f t="shared" si="0"/>
        <v>42999</v>
      </c>
      <c r="AA5" s="105">
        <f t="shared" si="0"/>
        <v>43000</v>
      </c>
      <c r="AB5" s="105">
        <f t="shared" si="0"/>
        <v>43001</v>
      </c>
      <c r="AC5" s="105">
        <f t="shared" si="0"/>
        <v>43002</v>
      </c>
      <c r="AD5" s="105">
        <f t="shared" si="0"/>
        <v>43003</v>
      </c>
      <c r="AE5" s="105">
        <f t="shared" si="0"/>
        <v>43004</v>
      </c>
      <c r="AF5" s="105">
        <f t="shared" si="0"/>
        <v>43005</v>
      </c>
      <c r="AG5" s="105">
        <f t="shared" si="0"/>
        <v>43006</v>
      </c>
      <c r="AH5" s="105">
        <f>AG5+1</f>
        <v>43007</v>
      </c>
      <c r="AI5" s="105">
        <f t="shared" si="0"/>
        <v>43008</v>
      </c>
      <c r="AJ5" s="105">
        <f t="shared" si="0"/>
        <v>43009</v>
      </c>
      <c r="AK5" s="262" t="s">
        <v>15</v>
      </c>
      <c r="AL5" s="263"/>
      <c r="AM5" s="264"/>
      <c r="AN5" s="265" t="s">
        <v>39</v>
      </c>
      <c r="AO5" s="265" t="s">
        <v>35</v>
      </c>
      <c r="AP5" s="265" t="s">
        <v>36</v>
      </c>
      <c r="AQ5" s="265" t="s">
        <v>37</v>
      </c>
      <c r="AR5" s="265" t="s">
        <v>38</v>
      </c>
      <c r="AS5" s="258" t="s">
        <v>0</v>
      </c>
      <c r="AT5" s="25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4" customFormat="1" ht="39.75" customHeight="1">
      <c r="A6" s="257"/>
      <c r="B6" s="257"/>
      <c r="C6" s="257"/>
      <c r="D6" s="257"/>
      <c r="E6" s="257"/>
      <c r="F6" s="160" t="str">
        <f>CHOOSE(WEEKDAY(F5),"C.Nhật","T.Hai","T.Ba","T.Tư","T.Năm","T.Sáu","T.Bảy")</f>
        <v>T.Sáu</v>
      </c>
      <c r="G6" s="160" t="str">
        <f t="shared" ref="G6:AJ6" si="1">CHOOSE(WEEKDAY(G5),"C.Nhật","T.Hai","T.Ba","T.Tư","T.Năm","T.Sáu","T.Bảy")</f>
        <v>T.Bảy</v>
      </c>
      <c r="H6" s="160" t="str">
        <f t="shared" si="1"/>
        <v>C.Nhật</v>
      </c>
      <c r="I6" s="160" t="str">
        <f t="shared" si="1"/>
        <v>T.Hai</v>
      </c>
      <c r="J6" s="160" t="str">
        <f t="shared" si="1"/>
        <v>T.Ba</v>
      </c>
      <c r="K6" s="160" t="str">
        <f t="shared" si="1"/>
        <v>T.Tư</v>
      </c>
      <c r="L6" s="160" t="str">
        <f t="shared" si="1"/>
        <v>T.Năm</v>
      </c>
      <c r="M6" s="160" t="str">
        <f t="shared" si="1"/>
        <v>T.Sáu</v>
      </c>
      <c r="N6" s="160" t="str">
        <f t="shared" si="1"/>
        <v>T.Bảy</v>
      </c>
      <c r="O6" s="160" t="str">
        <f t="shared" si="1"/>
        <v>C.Nhật</v>
      </c>
      <c r="P6" s="160" t="str">
        <f t="shared" si="1"/>
        <v>T.Hai</v>
      </c>
      <c r="Q6" s="160" t="str">
        <f t="shared" si="1"/>
        <v>T.Ba</v>
      </c>
      <c r="R6" s="160" t="str">
        <f t="shared" si="1"/>
        <v>T.Tư</v>
      </c>
      <c r="S6" s="160" t="str">
        <f t="shared" si="1"/>
        <v>T.Năm</v>
      </c>
      <c r="T6" s="160" t="str">
        <f t="shared" si="1"/>
        <v>T.Sáu</v>
      </c>
      <c r="U6" s="160" t="str">
        <f t="shared" si="1"/>
        <v>T.Bảy</v>
      </c>
      <c r="V6" s="160" t="str">
        <f t="shared" si="1"/>
        <v>C.Nhật</v>
      </c>
      <c r="W6" s="160" t="str">
        <f t="shared" si="1"/>
        <v>T.Hai</v>
      </c>
      <c r="X6" s="160" t="str">
        <f t="shared" si="1"/>
        <v>T.Ba</v>
      </c>
      <c r="Y6" s="160" t="str">
        <f t="shared" si="1"/>
        <v>T.Tư</v>
      </c>
      <c r="Z6" s="160" t="str">
        <f t="shared" si="1"/>
        <v>T.Năm</v>
      </c>
      <c r="AA6" s="160" t="str">
        <f t="shared" si="1"/>
        <v>T.Sáu</v>
      </c>
      <c r="AB6" s="160" t="str">
        <f t="shared" si="1"/>
        <v>T.Bảy</v>
      </c>
      <c r="AC6" s="160" t="str">
        <f t="shared" si="1"/>
        <v>C.Nhật</v>
      </c>
      <c r="AD6" s="160" t="str">
        <f t="shared" si="1"/>
        <v>T.Hai</v>
      </c>
      <c r="AE6" s="160" t="str">
        <f t="shared" si="1"/>
        <v>T.Ba</v>
      </c>
      <c r="AF6" s="160" t="str">
        <f t="shared" si="1"/>
        <v>T.Tư</v>
      </c>
      <c r="AG6" s="160" t="str">
        <f t="shared" si="1"/>
        <v>T.Năm</v>
      </c>
      <c r="AH6" s="160" t="str">
        <f t="shared" si="1"/>
        <v>T.Sáu</v>
      </c>
      <c r="AI6" s="160" t="str">
        <f t="shared" si="1"/>
        <v>T.Bảy</v>
      </c>
      <c r="AJ6" s="160" t="str">
        <f t="shared" si="1"/>
        <v>C.Nhật</v>
      </c>
      <c r="AK6" s="161" t="s">
        <v>16</v>
      </c>
      <c r="AL6" s="161" t="s">
        <v>29</v>
      </c>
      <c r="AM6" s="162" t="s">
        <v>17</v>
      </c>
      <c r="AN6" s="266"/>
      <c r="AO6" s="266"/>
      <c r="AP6" s="266"/>
      <c r="AQ6" s="266"/>
      <c r="AR6" s="266"/>
      <c r="AS6" s="257"/>
      <c r="AT6" s="25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4" customFormat="1" ht="12.75" customHeight="1">
      <c r="A7" s="163">
        <v>1</v>
      </c>
      <c r="B7" s="163">
        <v>1</v>
      </c>
      <c r="C7" s="163">
        <v>2</v>
      </c>
      <c r="D7" s="163">
        <v>3</v>
      </c>
      <c r="E7" s="163">
        <v>4</v>
      </c>
      <c r="F7" s="163">
        <v>5</v>
      </c>
      <c r="G7" s="163">
        <v>6</v>
      </c>
      <c r="H7" s="163">
        <v>7</v>
      </c>
      <c r="I7" s="163">
        <v>8</v>
      </c>
      <c r="J7" s="163">
        <v>9</v>
      </c>
      <c r="K7" s="163">
        <v>10</v>
      </c>
      <c r="L7" s="163">
        <v>11</v>
      </c>
      <c r="M7" s="163">
        <v>12</v>
      </c>
      <c r="N7" s="163">
        <v>13</v>
      </c>
      <c r="O7" s="163">
        <v>14</v>
      </c>
      <c r="P7" s="163">
        <v>15</v>
      </c>
      <c r="Q7" s="163">
        <v>16</v>
      </c>
      <c r="R7" s="163">
        <v>17</v>
      </c>
      <c r="S7" s="163">
        <v>18</v>
      </c>
      <c r="T7" s="163">
        <v>19</v>
      </c>
      <c r="U7" s="163">
        <v>20</v>
      </c>
      <c r="V7" s="163">
        <v>21</v>
      </c>
      <c r="W7" s="163">
        <v>22</v>
      </c>
      <c r="X7" s="163">
        <v>23</v>
      </c>
      <c r="Y7" s="163">
        <v>24</v>
      </c>
      <c r="Z7" s="163">
        <v>25</v>
      </c>
      <c r="AA7" s="163">
        <v>26</v>
      </c>
      <c r="AB7" s="163">
        <v>27</v>
      </c>
      <c r="AC7" s="163">
        <v>28</v>
      </c>
      <c r="AD7" s="163">
        <v>29</v>
      </c>
      <c r="AE7" s="163">
        <v>30</v>
      </c>
      <c r="AF7" s="163">
        <v>31</v>
      </c>
      <c r="AG7" s="163">
        <v>32</v>
      </c>
      <c r="AH7" s="163">
        <v>33</v>
      </c>
      <c r="AI7" s="163">
        <v>34</v>
      </c>
      <c r="AJ7" s="163">
        <v>35</v>
      </c>
      <c r="AK7" s="163">
        <v>36</v>
      </c>
      <c r="AL7" s="163">
        <v>37</v>
      </c>
      <c r="AM7" s="163">
        <v>38</v>
      </c>
      <c r="AN7" s="163">
        <v>39</v>
      </c>
      <c r="AO7" s="163">
        <v>40</v>
      </c>
      <c r="AP7" s="163">
        <v>41</v>
      </c>
      <c r="AQ7" s="163">
        <v>42</v>
      </c>
      <c r="AR7" s="163">
        <v>43</v>
      </c>
      <c r="AS7" s="163">
        <v>44</v>
      </c>
      <c r="AT7" s="184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6" customFormat="1" ht="21" customHeight="1">
      <c r="A8" s="164" t="s">
        <v>68</v>
      </c>
      <c r="B8" s="167" t="s">
        <v>80</v>
      </c>
      <c r="C8" s="168"/>
      <c r="D8" s="168"/>
      <c r="E8" s="168"/>
      <c r="F8" s="168"/>
      <c r="G8" s="168"/>
      <c r="H8" s="168"/>
      <c r="I8" s="168"/>
      <c r="J8" s="168"/>
      <c r="K8" s="168"/>
      <c r="L8" s="168"/>
      <c r="M8" s="168"/>
      <c r="N8" s="168"/>
      <c r="O8" s="168"/>
      <c r="P8" s="168"/>
      <c r="Q8" s="168"/>
      <c r="R8" s="168"/>
      <c r="S8" s="168"/>
      <c r="T8" s="168"/>
      <c r="U8" s="168"/>
      <c r="V8" s="168"/>
      <c r="W8" s="168"/>
      <c r="X8" s="168"/>
      <c r="Y8" s="168"/>
      <c r="Z8" s="168"/>
      <c r="AA8" s="168"/>
      <c r="AB8" s="168"/>
      <c r="AC8" s="168"/>
      <c r="AD8" s="168"/>
      <c r="AE8" s="168"/>
      <c r="AF8" s="168"/>
      <c r="AG8" s="168"/>
      <c r="AH8" s="168"/>
      <c r="AI8" s="168"/>
      <c r="AJ8" s="168"/>
      <c r="AK8" s="168"/>
      <c r="AL8" s="168"/>
      <c r="AM8" s="168"/>
      <c r="AN8" s="168"/>
      <c r="AO8" s="168"/>
      <c r="AP8" s="168"/>
      <c r="AQ8" s="168"/>
      <c r="AR8" s="168"/>
      <c r="AS8" s="169"/>
      <c r="AT8" s="165"/>
    </row>
    <row r="9" spans="1:91" s="54" customFormat="1" ht="18" customHeight="1">
      <c r="A9" s="249">
        <v>1</v>
      </c>
      <c r="B9" s="249" t="s">
        <v>74</v>
      </c>
      <c r="C9" s="251" t="str">
        <f>VLOOKUP(B9,DS,2,0)</f>
        <v>Nguyễn Thị Kim Quyên</v>
      </c>
      <c r="D9" s="253" t="str">
        <f>VLOOKUP(B9,DS,3,0)</f>
        <v>Văn Phòng</v>
      </c>
      <c r="E9" s="55" t="s">
        <v>30</v>
      </c>
      <c r="F9" s="130">
        <v>8</v>
      </c>
      <c r="G9" s="130"/>
      <c r="H9" s="130"/>
      <c r="I9" s="130">
        <v>8</v>
      </c>
      <c r="J9" s="130">
        <v>8</v>
      </c>
      <c r="K9" s="130">
        <v>8</v>
      </c>
      <c r="L9" s="130">
        <v>8</v>
      </c>
      <c r="M9" s="130">
        <v>8</v>
      </c>
      <c r="N9" s="130">
        <v>8</v>
      </c>
      <c r="O9" s="130"/>
      <c r="P9" s="130">
        <v>8</v>
      </c>
      <c r="Q9" s="130">
        <v>8</v>
      </c>
      <c r="R9" s="130">
        <v>8</v>
      </c>
      <c r="S9" s="130">
        <v>8</v>
      </c>
      <c r="T9" s="130">
        <v>8</v>
      </c>
      <c r="U9" s="130">
        <v>8</v>
      </c>
      <c r="V9" s="130"/>
      <c r="W9" s="130">
        <v>8</v>
      </c>
      <c r="X9" s="130">
        <v>8</v>
      </c>
      <c r="Y9" s="130">
        <v>8</v>
      </c>
      <c r="Z9" s="130">
        <v>8</v>
      </c>
      <c r="AA9" s="130">
        <v>8</v>
      </c>
      <c r="AB9" s="130">
        <v>8</v>
      </c>
      <c r="AC9" s="130"/>
      <c r="AD9" s="130">
        <v>8</v>
      </c>
      <c r="AE9" s="130">
        <v>8</v>
      </c>
      <c r="AF9" s="130">
        <v>8</v>
      </c>
      <c r="AG9" s="130">
        <v>8</v>
      </c>
      <c r="AH9" s="130">
        <v>8</v>
      </c>
      <c r="AI9" s="130">
        <v>8</v>
      </c>
      <c r="AJ9" s="130"/>
      <c r="AK9" s="245">
        <f>((SUM(F9:AJ9))/8)-(SUMIF($F$6:$AJ$6,"C.Nhật",F9:AJ9)/8)</f>
        <v>25</v>
      </c>
      <c r="AL9" s="245">
        <f>SUM(F10:AJ10)/8*1.5</f>
        <v>0</v>
      </c>
      <c r="AM9" s="247">
        <f>SUMIF($F$6:$AJ$6,"C.Nhật",$F9:$AJ10)/8*2</f>
        <v>0</v>
      </c>
      <c r="AN9" s="241">
        <f>SUM(AK9:AM10)</f>
        <v>25</v>
      </c>
      <c r="AO9" s="243">
        <v>0</v>
      </c>
      <c r="AP9" s="241"/>
      <c r="AQ9" s="241"/>
      <c r="AR9" s="241"/>
      <c r="AS9" s="239"/>
      <c r="AT9" s="184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4" customFormat="1" ht="18" customHeight="1">
      <c r="A10" s="250"/>
      <c r="B10" s="250"/>
      <c r="C10" s="252"/>
      <c r="D10" s="254"/>
      <c r="E10" s="56" t="s">
        <v>29</v>
      </c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131"/>
      <c r="AK10" s="246"/>
      <c r="AL10" s="246"/>
      <c r="AM10" s="248"/>
      <c r="AN10" s="242"/>
      <c r="AO10" s="244"/>
      <c r="AP10" s="242"/>
      <c r="AQ10" s="242"/>
      <c r="AR10" s="242"/>
      <c r="AS10" s="240"/>
      <c r="AT10" s="184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66" customFormat="1" ht="21" customHeight="1">
      <c r="A11" s="164" t="s">
        <v>69</v>
      </c>
      <c r="B11" s="167" t="s">
        <v>73</v>
      </c>
      <c r="C11" s="168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  <c r="P11" s="168"/>
      <c r="Q11" s="168"/>
      <c r="R11" s="168"/>
      <c r="S11" s="168"/>
      <c r="T11" s="168"/>
      <c r="U11" s="168"/>
      <c r="V11" s="168"/>
      <c r="W11" s="168"/>
      <c r="X11" s="168"/>
      <c r="Y11" s="168"/>
      <c r="Z11" s="168"/>
      <c r="AA11" s="168"/>
      <c r="AB11" s="168"/>
      <c r="AC11" s="168"/>
      <c r="AD11" s="168"/>
      <c r="AE11" s="168"/>
      <c r="AF11" s="168"/>
      <c r="AG11" s="168"/>
      <c r="AH11" s="168"/>
      <c r="AI11" s="168"/>
      <c r="AJ11" s="168"/>
      <c r="AK11" s="168"/>
      <c r="AL11" s="168"/>
      <c r="AM11" s="168"/>
      <c r="AN11" s="168"/>
      <c r="AO11" s="168"/>
      <c r="AP11" s="168"/>
      <c r="AQ11" s="168"/>
      <c r="AR11" s="168"/>
      <c r="AS11" s="169"/>
      <c r="AT11" s="165"/>
    </row>
    <row r="12" spans="1:91" s="54" customFormat="1" ht="18" customHeight="1">
      <c r="A12" s="249">
        <v>1</v>
      </c>
      <c r="B12" s="249" t="s">
        <v>75</v>
      </c>
      <c r="C12" s="251" t="str">
        <f>VLOOKUP(B12,DS,2,0)</f>
        <v>Lê Văn Hữu</v>
      </c>
      <c r="D12" s="253" t="str">
        <f>VLOOKUP(B12,DS,3,0)</f>
        <v>Công Đoạn 1</v>
      </c>
      <c r="E12" s="55" t="s">
        <v>30</v>
      </c>
      <c r="F12" s="130">
        <v>8</v>
      </c>
      <c r="G12" s="130"/>
      <c r="H12" s="130"/>
      <c r="I12" s="130">
        <v>8</v>
      </c>
      <c r="J12" s="130">
        <v>8</v>
      </c>
      <c r="K12" s="130">
        <v>8</v>
      </c>
      <c r="L12" s="130">
        <v>8</v>
      </c>
      <c r="M12" s="130">
        <v>8</v>
      </c>
      <c r="N12" s="130">
        <v>8</v>
      </c>
      <c r="O12" s="130"/>
      <c r="P12" s="130">
        <v>8</v>
      </c>
      <c r="Q12" s="130">
        <v>8</v>
      </c>
      <c r="R12" s="130">
        <v>8</v>
      </c>
      <c r="S12" s="130">
        <v>8</v>
      </c>
      <c r="T12" s="130">
        <v>8</v>
      </c>
      <c r="U12" s="130">
        <v>8</v>
      </c>
      <c r="V12" s="130"/>
      <c r="W12" s="130">
        <v>8</v>
      </c>
      <c r="X12" s="130">
        <v>8</v>
      </c>
      <c r="Y12" s="130">
        <v>8</v>
      </c>
      <c r="Z12" s="130">
        <v>8</v>
      </c>
      <c r="AA12" s="130">
        <v>8</v>
      </c>
      <c r="AB12" s="130">
        <v>8</v>
      </c>
      <c r="AC12" s="130"/>
      <c r="AD12" s="130">
        <v>8</v>
      </c>
      <c r="AE12" s="130">
        <v>8</v>
      </c>
      <c r="AF12" s="130">
        <v>8</v>
      </c>
      <c r="AG12" s="130">
        <v>8</v>
      </c>
      <c r="AH12" s="130">
        <v>8</v>
      </c>
      <c r="AI12" s="130">
        <v>8</v>
      </c>
      <c r="AJ12" s="130"/>
      <c r="AK12" s="245">
        <f t="shared" ref="AK12" si="2">((SUM(F12:AJ12))/8)-(SUMIF($F$6:$AJ$6,"C.Nhật",F12:AJ12)/8)</f>
        <v>25</v>
      </c>
      <c r="AL12" s="245">
        <f t="shared" ref="AL12" si="3">SUM(F13:AJ13)/8*1.5</f>
        <v>0</v>
      </c>
      <c r="AM12" s="247">
        <f>SUMIF($F$6:$AJ$6,"C.Nhật",$F12:$AJ13)/8*2</f>
        <v>0</v>
      </c>
      <c r="AN12" s="241">
        <f>SUM(AK12:AM13)</f>
        <v>25</v>
      </c>
      <c r="AO12" s="243">
        <v>0</v>
      </c>
      <c r="AP12" s="241"/>
      <c r="AQ12" s="241"/>
      <c r="AR12" s="241"/>
      <c r="AS12" s="239"/>
      <c r="AT12" s="205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54" customFormat="1" ht="18" customHeight="1">
      <c r="A13" s="250"/>
      <c r="B13" s="250"/>
      <c r="C13" s="252"/>
      <c r="D13" s="254"/>
      <c r="E13" s="56" t="s">
        <v>29</v>
      </c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  <c r="AH13" s="131"/>
      <c r="AI13" s="131"/>
      <c r="AJ13" s="131"/>
      <c r="AK13" s="246"/>
      <c r="AL13" s="246"/>
      <c r="AM13" s="248"/>
      <c r="AN13" s="242"/>
      <c r="AO13" s="244"/>
      <c r="AP13" s="242"/>
      <c r="AQ13" s="242"/>
      <c r="AR13" s="242"/>
      <c r="AS13" s="240"/>
      <c r="AT13" s="205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54" customFormat="1" ht="18" customHeight="1">
      <c r="A14" s="249">
        <v>2</v>
      </c>
      <c r="B14" s="249" t="s">
        <v>76</v>
      </c>
      <c r="C14" s="251" t="str">
        <f>VLOOKUP(B14,DS,2,0)</f>
        <v>Lý Thanh Hải</v>
      </c>
      <c r="D14" s="253" t="str">
        <f>VLOOKUP(B14,DS,3,0)</f>
        <v>Công Đoạn 1</v>
      </c>
      <c r="E14" s="55" t="s">
        <v>30</v>
      </c>
      <c r="F14" s="130">
        <v>8</v>
      </c>
      <c r="G14" s="130"/>
      <c r="H14" s="130"/>
      <c r="I14" s="130">
        <v>8</v>
      </c>
      <c r="J14" s="130">
        <v>8</v>
      </c>
      <c r="K14" s="130">
        <v>8</v>
      </c>
      <c r="L14" s="130">
        <v>8</v>
      </c>
      <c r="M14" s="130">
        <v>8</v>
      </c>
      <c r="N14" s="130">
        <v>8</v>
      </c>
      <c r="O14" s="130"/>
      <c r="P14" s="130">
        <v>8</v>
      </c>
      <c r="Q14" s="130">
        <v>8</v>
      </c>
      <c r="R14" s="130">
        <v>8</v>
      </c>
      <c r="S14" s="130">
        <v>8</v>
      </c>
      <c r="T14" s="130">
        <v>8</v>
      </c>
      <c r="U14" s="130">
        <v>8</v>
      </c>
      <c r="V14" s="130"/>
      <c r="W14" s="130">
        <v>8</v>
      </c>
      <c r="X14" s="130">
        <v>8</v>
      </c>
      <c r="Y14" s="130">
        <v>8</v>
      </c>
      <c r="Z14" s="130">
        <v>8</v>
      </c>
      <c r="AA14" s="130">
        <v>8</v>
      </c>
      <c r="AB14" s="130">
        <v>8</v>
      </c>
      <c r="AC14" s="130"/>
      <c r="AD14" s="130">
        <v>8</v>
      </c>
      <c r="AE14" s="130">
        <v>8</v>
      </c>
      <c r="AF14" s="130">
        <v>8</v>
      </c>
      <c r="AG14" s="130">
        <v>8</v>
      </c>
      <c r="AH14" s="130">
        <v>8</v>
      </c>
      <c r="AI14" s="130">
        <v>8</v>
      </c>
      <c r="AJ14" s="130"/>
      <c r="AK14" s="245">
        <f t="shared" ref="AK14" si="4">((SUM(F14:AJ14))/8)-(SUMIF($F$6:$AJ$6,"C.Nhật",F14:AJ14)/8)</f>
        <v>25</v>
      </c>
      <c r="AL14" s="245">
        <f t="shared" ref="AL14" si="5">SUM(F15:AJ15)/8*1.5</f>
        <v>0</v>
      </c>
      <c r="AM14" s="247">
        <f>SUMIF($F$6:$AJ$6,"C.Nhật",$F14:$AJ15)/8*2</f>
        <v>0</v>
      </c>
      <c r="AN14" s="241">
        <f t="shared" ref="AN14" si="6">SUM(AK14:AM15)</f>
        <v>25</v>
      </c>
      <c r="AO14" s="243">
        <v>0</v>
      </c>
      <c r="AP14" s="241"/>
      <c r="AQ14" s="241"/>
      <c r="AR14" s="241"/>
      <c r="AS14" s="239"/>
      <c r="AT14" s="21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4" customFormat="1" ht="18" customHeight="1">
      <c r="A15" s="250"/>
      <c r="B15" s="250"/>
      <c r="C15" s="252"/>
      <c r="D15" s="254"/>
      <c r="E15" s="56" t="s">
        <v>29</v>
      </c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31"/>
      <c r="AK15" s="246"/>
      <c r="AL15" s="246"/>
      <c r="AM15" s="248"/>
      <c r="AN15" s="242"/>
      <c r="AO15" s="244"/>
      <c r="AP15" s="242"/>
      <c r="AQ15" s="242"/>
      <c r="AR15" s="242"/>
      <c r="AS15" s="240"/>
      <c r="AT15" s="21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4" customFormat="1" ht="18" customHeight="1">
      <c r="A16" s="249">
        <v>3</v>
      </c>
      <c r="B16" s="249" t="s">
        <v>77</v>
      </c>
      <c r="C16" s="251" t="str">
        <f>VLOOKUP(B16,DS,2,0)</f>
        <v>Cao Minh Chí</v>
      </c>
      <c r="D16" s="253" t="str">
        <f>VLOOKUP(B16,DS,3,0)</f>
        <v>Công Đoạn 2</v>
      </c>
      <c r="E16" s="55" t="s">
        <v>30</v>
      </c>
      <c r="F16" s="130">
        <v>8</v>
      </c>
      <c r="G16" s="130"/>
      <c r="H16" s="130"/>
      <c r="I16" s="130">
        <v>8</v>
      </c>
      <c r="J16" s="130">
        <v>8</v>
      </c>
      <c r="K16" s="130">
        <v>8</v>
      </c>
      <c r="L16" s="130">
        <v>8</v>
      </c>
      <c r="M16" s="130">
        <v>8</v>
      </c>
      <c r="N16" s="130">
        <v>8</v>
      </c>
      <c r="O16" s="130"/>
      <c r="P16" s="130">
        <v>8</v>
      </c>
      <c r="Q16" s="130">
        <v>8</v>
      </c>
      <c r="R16" s="130">
        <v>8</v>
      </c>
      <c r="S16" s="130">
        <v>8</v>
      </c>
      <c r="T16" s="130">
        <v>8</v>
      </c>
      <c r="U16" s="130">
        <v>8</v>
      </c>
      <c r="V16" s="130"/>
      <c r="W16" s="130">
        <v>8</v>
      </c>
      <c r="X16" s="130">
        <v>8</v>
      </c>
      <c r="Y16" s="130">
        <v>8</v>
      </c>
      <c r="Z16" s="130">
        <v>8</v>
      </c>
      <c r="AA16" s="130">
        <v>8</v>
      </c>
      <c r="AB16" s="130">
        <v>8</v>
      </c>
      <c r="AC16" s="130"/>
      <c r="AD16" s="130">
        <v>8</v>
      </c>
      <c r="AE16" s="130">
        <v>8</v>
      </c>
      <c r="AF16" s="130">
        <v>8</v>
      </c>
      <c r="AG16" s="130">
        <v>8</v>
      </c>
      <c r="AH16" s="130">
        <v>8</v>
      </c>
      <c r="AI16" s="130">
        <v>8</v>
      </c>
      <c r="AJ16" s="130"/>
      <c r="AK16" s="245">
        <f t="shared" ref="AK16" si="7">((SUM(F16:AJ16))/8)-(SUMIF($F$6:$AJ$6,"C.Nhật",F16:AJ16)/8)</f>
        <v>25</v>
      </c>
      <c r="AL16" s="245">
        <f t="shared" ref="AL16" si="8">SUM(F17:AJ17)/8*1.5</f>
        <v>0</v>
      </c>
      <c r="AM16" s="247">
        <f>SUMIF($F$6:$AJ$6,"C.Nhật",$F16:$AJ17)/8*2</f>
        <v>0</v>
      </c>
      <c r="AN16" s="241">
        <f t="shared" ref="AN16" si="9">SUM(AK16:AM17)</f>
        <v>25</v>
      </c>
      <c r="AO16" s="243">
        <v>0</v>
      </c>
      <c r="AP16" s="241"/>
      <c r="AQ16" s="241"/>
      <c r="AR16" s="241"/>
      <c r="AS16" s="239"/>
      <c r="AT16" s="21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4" customFormat="1" ht="18" customHeight="1">
      <c r="A17" s="250"/>
      <c r="B17" s="250"/>
      <c r="C17" s="252"/>
      <c r="D17" s="254"/>
      <c r="E17" s="56" t="s">
        <v>29</v>
      </c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31"/>
      <c r="AK17" s="246"/>
      <c r="AL17" s="246"/>
      <c r="AM17" s="248"/>
      <c r="AN17" s="242"/>
      <c r="AO17" s="244"/>
      <c r="AP17" s="242"/>
      <c r="AQ17" s="242"/>
      <c r="AR17" s="242"/>
      <c r="AS17" s="240"/>
      <c r="AT17" s="21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7" customFormat="1" ht="12.75">
      <c r="A18" s="14"/>
      <c r="B18" s="58"/>
      <c r="C18" s="4"/>
      <c r="D18" s="100"/>
      <c r="E18" s="4"/>
      <c r="F18" s="62"/>
      <c r="G18" s="62"/>
      <c r="H18" s="59"/>
      <c r="I18" s="59"/>
      <c r="J18" s="107"/>
      <c r="K18" s="62"/>
      <c r="L18" s="59"/>
      <c r="M18" s="62"/>
      <c r="N18" s="62"/>
      <c r="O18" s="62"/>
      <c r="P18" s="62"/>
      <c r="Q18" s="59"/>
      <c r="R18" s="62"/>
      <c r="S18" s="62"/>
      <c r="T18" s="107"/>
      <c r="U18" s="62"/>
      <c r="V18" s="62"/>
      <c r="W18" s="62"/>
      <c r="X18" s="58"/>
      <c r="Y18" s="62"/>
      <c r="Z18" s="62"/>
      <c r="AA18" s="62"/>
      <c r="AB18" s="62"/>
      <c r="AC18" s="62"/>
      <c r="AD18" s="59"/>
      <c r="AE18" s="62"/>
      <c r="AF18" s="62"/>
      <c r="AG18" s="62"/>
      <c r="AH18" s="62"/>
      <c r="AI18" s="62"/>
      <c r="AJ18" s="62"/>
      <c r="AK18" s="4"/>
      <c r="AL18" s="4"/>
      <c r="AM18" s="85"/>
      <c r="AN18" s="61"/>
      <c r="AO18" s="61"/>
      <c r="AP18" s="61"/>
      <c r="AQ18" s="61"/>
      <c r="AR18" s="61"/>
      <c r="AS18" s="4"/>
      <c r="AT18" s="91"/>
    </row>
    <row r="19" spans="1:90" s="57" customFormat="1" ht="12.75">
      <c r="A19" s="14"/>
      <c r="B19" s="58"/>
      <c r="C19" s="14" t="s">
        <v>14</v>
      </c>
      <c r="D19" s="100"/>
      <c r="E19" s="4"/>
      <c r="F19" s="62"/>
      <c r="G19" s="62"/>
      <c r="H19" s="59"/>
      <c r="I19" s="59"/>
      <c r="J19" s="107"/>
      <c r="K19" s="62"/>
      <c r="L19" s="59"/>
      <c r="M19" s="62"/>
      <c r="N19" s="62"/>
      <c r="O19" s="62"/>
      <c r="P19" s="62"/>
      <c r="Q19" s="59"/>
      <c r="R19" s="62"/>
      <c r="S19" s="62"/>
      <c r="T19" s="107"/>
      <c r="U19" s="62"/>
      <c r="V19" s="62"/>
      <c r="W19" s="62"/>
      <c r="X19" s="58"/>
      <c r="Y19" s="62"/>
      <c r="Z19" s="62"/>
      <c r="AA19" s="62"/>
      <c r="AB19" s="62"/>
      <c r="AC19" s="62"/>
      <c r="AD19" s="59"/>
      <c r="AE19" s="62"/>
      <c r="AF19" s="62"/>
      <c r="AG19" s="62"/>
      <c r="AH19" s="62"/>
      <c r="AI19" s="62"/>
      <c r="AJ19" s="62"/>
      <c r="AK19" s="4"/>
      <c r="AL19" s="4"/>
      <c r="AM19" s="85"/>
      <c r="AN19" s="61"/>
      <c r="AO19" s="61"/>
      <c r="AP19" s="61"/>
      <c r="AQ19" s="61"/>
      <c r="AR19" s="61"/>
      <c r="AS19" s="4"/>
      <c r="AT19" s="91"/>
    </row>
    <row r="20" spans="1:90" s="57" customFormat="1" ht="12.75">
      <c r="A20" s="12"/>
      <c r="B20" s="12"/>
      <c r="C20" s="4"/>
      <c r="D20" s="100"/>
      <c r="E20" s="4"/>
      <c r="F20" s="62"/>
      <c r="G20" s="62"/>
      <c r="H20" s="108"/>
      <c r="I20" s="108"/>
      <c r="J20" s="108"/>
      <c r="K20" s="62"/>
      <c r="L20" s="108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108"/>
      <c r="AE20" s="62"/>
      <c r="AF20" s="62"/>
      <c r="AG20" s="62"/>
      <c r="AH20" s="62"/>
      <c r="AI20" s="62"/>
      <c r="AJ20" s="62"/>
      <c r="AK20" s="4"/>
      <c r="AL20" s="4"/>
      <c r="AM20" s="85"/>
      <c r="AN20" s="63"/>
      <c r="AO20" s="63"/>
      <c r="AP20" s="63"/>
      <c r="AQ20" s="63"/>
      <c r="AR20" s="63"/>
      <c r="AS20" s="4"/>
      <c r="AT20" s="91"/>
    </row>
    <row r="21" spans="1:90" s="60" customFormat="1" ht="15" customHeight="1">
      <c r="A21" s="12"/>
      <c r="B21" s="12"/>
      <c r="C21" s="4"/>
      <c r="D21" s="100"/>
      <c r="E21" s="4"/>
      <c r="F21" s="62"/>
      <c r="G21" s="62"/>
      <c r="H21" s="108"/>
      <c r="I21" s="108"/>
      <c r="J21" s="108"/>
      <c r="K21" s="62"/>
      <c r="L21" s="108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108"/>
      <c r="AE21" s="62"/>
      <c r="AF21" s="62"/>
      <c r="AG21" s="62"/>
      <c r="AH21" s="62"/>
      <c r="AI21" s="62"/>
      <c r="AJ21" s="62"/>
      <c r="AK21" s="4"/>
      <c r="AL21" s="4"/>
      <c r="AM21" s="85"/>
      <c r="AN21" s="63"/>
      <c r="AO21" s="63"/>
      <c r="AP21" s="63"/>
      <c r="AQ21" s="63"/>
      <c r="AR21" s="63"/>
      <c r="AS21" s="4"/>
      <c r="AT21" s="4"/>
    </row>
    <row r="22" spans="1:90" s="60" customFormat="1" ht="11.25">
      <c r="A22" s="12"/>
      <c r="B22" s="12"/>
      <c r="C22" s="4"/>
      <c r="D22" s="100"/>
      <c r="E22" s="4"/>
      <c r="F22" s="62"/>
      <c r="G22" s="62"/>
      <c r="H22" s="108"/>
      <c r="I22" s="108"/>
      <c r="J22" s="108"/>
      <c r="K22" s="62"/>
      <c r="L22" s="108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108"/>
      <c r="AE22" s="62"/>
      <c r="AF22" s="62"/>
      <c r="AG22" s="62"/>
      <c r="AH22" s="62"/>
      <c r="AI22" s="62"/>
      <c r="AJ22" s="62"/>
      <c r="AK22" s="4"/>
      <c r="AL22" s="4"/>
      <c r="AM22" s="85"/>
      <c r="AN22" s="63"/>
      <c r="AO22" s="63"/>
      <c r="AP22" s="63"/>
      <c r="AQ22" s="63"/>
      <c r="AR22" s="63"/>
      <c r="AS22" s="4"/>
      <c r="AT22" s="4"/>
    </row>
    <row r="23" spans="1:90" s="60" customFormat="1" ht="11.25">
      <c r="A23" s="12"/>
      <c r="B23" s="12"/>
      <c r="C23" s="4"/>
      <c r="D23" s="100"/>
      <c r="E23" s="4"/>
      <c r="F23" s="62"/>
      <c r="G23" s="62"/>
      <c r="H23" s="108"/>
      <c r="I23" s="108"/>
      <c r="J23" s="108"/>
      <c r="K23" s="62"/>
      <c r="L23" s="108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108"/>
      <c r="AE23" s="62"/>
      <c r="AF23" s="62"/>
      <c r="AG23" s="62"/>
      <c r="AH23" s="62"/>
      <c r="AI23" s="62"/>
      <c r="AJ23" s="62"/>
      <c r="AK23" s="4"/>
      <c r="AL23" s="4"/>
      <c r="AM23" s="85"/>
      <c r="AN23" s="63"/>
      <c r="AO23" s="63"/>
      <c r="AP23" s="63"/>
      <c r="AQ23" s="63"/>
      <c r="AR23" s="63"/>
      <c r="AS23" s="4"/>
      <c r="AT23" s="4"/>
    </row>
    <row r="24" spans="1:90" s="60" customFormat="1" ht="11.25">
      <c r="A24" s="10"/>
      <c r="B24" s="10"/>
      <c r="C24" s="14"/>
      <c r="D24" s="101"/>
      <c r="E24" s="64"/>
      <c r="F24" s="107"/>
      <c r="G24" s="109"/>
      <c r="H24" s="59"/>
      <c r="I24" s="59"/>
      <c r="J24" s="59"/>
      <c r="K24" s="109"/>
      <c r="L24" s="59"/>
      <c r="M24" s="109"/>
      <c r="N24" s="109"/>
      <c r="O24" s="109"/>
      <c r="P24" s="109"/>
      <c r="Q24" s="59"/>
      <c r="R24" s="107"/>
      <c r="S24" s="109"/>
      <c r="T24" s="109"/>
      <c r="U24" s="59"/>
      <c r="V24" s="109"/>
      <c r="W24" s="109"/>
      <c r="X24" s="59"/>
      <c r="Y24" s="109"/>
      <c r="Z24" s="109"/>
      <c r="AA24" s="109"/>
      <c r="AB24" s="109"/>
      <c r="AC24" s="109"/>
      <c r="AD24" s="59"/>
      <c r="AE24" s="109"/>
      <c r="AF24" s="109"/>
      <c r="AG24" s="109"/>
      <c r="AH24" s="109"/>
      <c r="AI24" s="109"/>
      <c r="AJ24" s="109"/>
      <c r="AK24" s="64"/>
      <c r="AM24" s="86"/>
      <c r="AN24" s="10"/>
      <c r="AO24" s="10"/>
      <c r="AP24" s="10"/>
      <c r="AQ24" s="10"/>
      <c r="AR24" s="10"/>
      <c r="AS24" s="14"/>
      <c r="AT24" s="4"/>
    </row>
    <row r="25" spans="1:90" s="60" customFormat="1" ht="12.75">
      <c r="A25" s="2"/>
      <c r="B25" s="2" t="s">
        <v>0</v>
      </c>
      <c r="C25" s="2"/>
      <c r="D25" s="182"/>
      <c r="E25" s="2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1"/>
      <c r="AI25" s="111"/>
      <c r="AJ25" s="111"/>
      <c r="AK25" s="2"/>
      <c r="AL25" s="2"/>
      <c r="AM25" s="87"/>
      <c r="AN25" s="2"/>
      <c r="AO25" s="2"/>
      <c r="AP25" s="2"/>
      <c r="AQ25" s="2"/>
      <c r="AR25" s="2"/>
      <c r="AS25" s="2"/>
      <c r="AT25" s="4"/>
    </row>
    <row r="26" spans="1:90" s="60" customFormat="1" ht="12.75">
      <c r="A26" s="2"/>
      <c r="B26" s="2"/>
      <c r="C26" s="2" t="s">
        <v>40</v>
      </c>
      <c r="D26" s="182"/>
      <c r="E26" s="2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1"/>
      <c r="AI26" s="111"/>
      <c r="AJ26" s="111"/>
      <c r="AK26" s="2"/>
      <c r="AL26" s="2"/>
      <c r="AM26" s="87"/>
      <c r="AN26" s="2"/>
      <c r="AO26" s="2"/>
      <c r="AP26" s="2"/>
      <c r="AQ26" s="2"/>
      <c r="AR26" s="2"/>
      <c r="AS26" s="2"/>
      <c r="AT26" s="14"/>
    </row>
    <row r="27" spans="1:90" ht="15" customHeight="1">
      <c r="C27" s="2" t="s">
        <v>41</v>
      </c>
    </row>
    <row r="28" spans="1:90" ht="15" customHeight="1">
      <c r="C28" s="2" t="s">
        <v>42</v>
      </c>
    </row>
    <row r="29" spans="1:90" ht="15" customHeight="1">
      <c r="C29" s="2" t="s">
        <v>43</v>
      </c>
    </row>
    <row r="30" spans="1:90" ht="15" customHeight="1">
      <c r="C30" s="2" t="s">
        <v>44</v>
      </c>
    </row>
    <row r="31" spans="1:90" ht="15" customHeight="1">
      <c r="C31" s="2" t="s">
        <v>45</v>
      </c>
    </row>
    <row r="32" spans="1:90" ht="15" customHeight="1">
      <c r="C32" s="2" t="s">
        <v>46</v>
      </c>
    </row>
    <row r="33" spans="3:3" ht="15" customHeight="1">
      <c r="C33" s="2" t="s">
        <v>47</v>
      </c>
    </row>
    <row r="34" spans="3:3" ht="15" customHeight="1">
      <c r="C34" s="2" t="s">
        <v>48</v>
      </c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20:J23 Q18:Q19" name="Range1_1_1_1"/>
    <protectedRange password="CC78" sqref="J24" name="Range1_3_1_1"/>
    <protectedRange password="CC78" sqref="A12:A17" name="Range1_1_2"/>
    <protectedRange password="CC78" sqref="A12:A17 C12:E17" name="Range1_6_2"/>
    <protectedRange password="CC78" sqref="B12:B17" name="Range1_4_2"/>
  </protectedRanges>
  <mergeCells count="66">
    <mergeCell ref="AN16:AN17"/>
    <mergeCell ref="AO16:AO17"/>
    <mergeCell ref="AK14:AK15"/>
    <mergeCell ref="A14:A15"/>
    <mergeCell ref="B14:B15"/>
    <mergeCell ref="A16:A17"/>
    <mergeCell ref="B16:B17"/>
    <mergeCell ref="C16:C17"/>
    <mergeCell ref="D16:D17"/>
    <mergeCell ref="AK16:AK17"/>
    <mergeCell ref="AM1:AS1"/>
    <mergeCell ref="AK5:AM5"/>
    <mergeCell ref="AN5:AN6"/>
    <mergeCell ref="AO5:AO6"/>
    <mergeCell ref="AP5:AP6"/>
    <mergeCell ref="AQ5:AQ6"/>
    <mergeCell ref="AR5:AR6"/>
    <mergeCell ref="AS5:AS6"/>
    <mergeCell ref="AN12:AN13"/>
    <mergeCell ref="AO12:AO13"/>
    <mergeCell ref="AS14:AS15"/>
    <mergeCell ref="AN14:AN15"/>
    <mergeCell ref="AQ14:AQ15"/>
    <mergeCell ref="AR14:AR15"/>
    <mergeCell ref="AR12:AR13"/>
    <mergeCell ref="AS12:AS13"/>
    <mergeCell ref="AO14:AO15"/>
    <mergeCell ref="AP14:AP15"/>
    <mergeCell ref="C5:C6"/>
    <mergeCell ref="D5:D6"/>
    <mergeCell ref="E5:E6"/>
    <mergeCell ref="AL16:AL17"/>
    <mergeCell ref="AM16:AM17"/>
    <mergeCell ref="C14:C15"/>
    <mergeCell ref="D14:D15"/>
    <mergeCell ref="AL14:AL15"/>
    <mergeCell ref="AM14:AM15"/>
    <mergeCell ref="AL12:AL13"/>
    <mergeCell ref="AM12:AM13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5:A6"/>
    <mergeCell ref="B5:B6"/>
    <mergeCell ref="A12:A13"/>
    <mergeCell ref="B12:B13"/>
    <mergeCell ref="C12:C13"/>
    <mergeCell ref="D12:D13"/>
    <mergeCell ref="AK12:AK13"/>
    <mergeCell ref="AQ16:AQ17"/>
    <mergeCell ref="AR16:AR17"/>
    <mergeCell ref="AS16:AS17"/>
    <mergeCell ref="AP12:AP13"/>
    <mergeCell ref="AQ12:AQ13"/>
    <mergeCell ref="AP16:AP17"/>
  </mergeCells>
  <conditionalFormatting sqref="F5:AJ6 F9:AJ10 F12:AI17">
    <cfRule type="expression" dxfId="35" priority="58" stopIfTrue="1">
      <formula>IF(WEEKDAY(F$5)=1,TRUE,FALSE)</formula>
    </cfRule>
  </conditionalFormatting>
  <conditionalFormatting sqref="F9:AJ10">
    <cfRule type="expression" dxfId="34" priority="57" stopIfTrue="1">
      <formula>IF(WEEKDAY(F$5)=1,TRUE,FALSE)</formula>
    </cfRule>
  </conditionalFormatting>
  <conditionalFormatting sqref="AJ12:AJ13">
    <cfRule type="expression" dxfId="33" priority="44" stopIfTrue="1">
      <formula>IF(WEEKDAY(AJ$5)=1,TRUE,FALSE)</formula>
    </cfRule>
  </conditionalFormatting>
  <conditionalFormatting sqref="AJ12:AJ13">
    <cfRule type="expression" dxfId="32" priority="43" stopIfTrue="1">
      <formula>IF(WEEKDAY(AJ$5)=1,TRUE,FALSE)</formula>
    </cfRule>
  </conditionalFormatting>
  <conditionalFormatting sqref="AJ12:AJ13">
    <cfRule type="expression" dxfId="31" priority="42" stopIfTrue="1">
      <formula>IF(WEEKDAY(AJ$5)=1,TRUE,FALSE)</formula>
    </cfRule>
  </conditionalFormatting>
  <conditionalFormatting sqref="AJ12:AJ13">
    <cfRule type="expression" dxfId="30" priority="41" stopIfTrue="1">
      <formula>IF(WEEKDAY(AJ$5)=1,TRUE,FALSE)</formula>
    </cfRule>
  </conditionalFormatting>
  <conditionalFormatting sqref="AJ12:AJ13">
    <cfRule type="expression" dxfId="29" priority="40" stopIfTrue="1">
      <formula>IF(WEEKDAY(AJ$5)=1,TRUE,FALSE)</formula>
    </cfRule>
  </conditionalFormatting>
  <conditionalFormatting sqref="AJ12:AJ13">
    <cfRule type="expression" dxfId="28" priority="39" stopIfTrue="1">
      <formula>IF(WEEKDAY(AJ$5)=1,TRUE,FALSE)</formula>
    </cfRule>
  </conditionalFormatting>
  <conditionalFormatting sqref="AJ12:AJ13">
    <cfRule type="expression" dxfId="27" priority="38" stopIfTrue="1">
      <formula>IF(WEEKDAY(AJ$5)=1,TRUE,FALSE)</formula>
    </cfRule>
  </conditionalFormatting>
  <conditionalFormatting sqref="AJ16:AJ17">
    <cfRule type="expression" dxfId="26" priority="21" stopIfTrue="1">
      <formula>IF(WEEKDAY(AJ$5)=1,TRUE,FALSE)</formula>
    </cfRule>
  </conditionalFormatting>
  <conditionalFormatting sqref="AJ16:AJ17">
    <cfRule type="expression" dxfId="25" priority="20" stopIfTrue="1">
      <formula>IF(WEEKDAY(AJ$5)=1,TRUE,FALSE)</formula>
    </cfRule>
  </conditionalFormatting>
  <conditionalFormatting sqref="AJ16:AJ17">
    <cfRule type="expression" dxfId="24" priority="19" stopIfTrue="1">
      <formula>IF(WEEKDAY(AJ$5)=1,TRUE,FALSE)</formula>
    </cfRule>
  </conditionalFormatting>
  <conditionalFormatting sqref="AJ16:AJ17">
    <cfRule type="expression" dxfId="23" priority="18" stopIfTrue="1">
      <formula>IF(WEEKDAY(AJ$5)=1,TRUE,FALSE)</formula>
    </cfRule>
  </conditionalFormatting>
  <conditionalFormatting sqref="AJ16:AJ17">
    <cfRule type="expression" dxfId="22" priority="17" stopIfTrue="1">
      <formula>IF(WEEKDAY(AJ$5)=1,TRUE,FALSE)</formula>
    </cfRule>
  </conditionalFormatting>
  <conditionalFormatting sqref="AJ16:AJ17">
    <cfRule type="expression" dxfId="21" priority="16" stopIfTrue="1">
      <formula>IF(WEEKDAY(AJ$5)=1,TRUE,FALSE)</formula>
    </cfRule>
  </conditionalFormatting>
  <conditionalFormatting sqref="AJ16:AJ17">
    <cfRule type="expression" dxfId="20" priority="15" stopIfTrue="1">
      <formula>IF(WEEKDAY(AJ$5)=1,TRUE,FALSE)</formula>
    </cfRule>
  </conditionalFormatting>
  <conditionalFormatting sqref="AJ14:AJ15">
    <cfRule type="expression" dxfId="19" priority="12" stopIfTrue="1">
      <formula>IF(WEEKDAY(AJ$5)=1,TRUE,FALSE)</formula>
    </cfRule>
  </conditionalFormatting>
  <conditionalFormatting sqref="AJ14:AJ15">
    <cfRule type="expression" dxfId="18" priority="11" stopIfTrue="1">
      <formula>IF(WEEKDAY(AJ$5)=1,TRUE,FALSE)</formula>
    </cfRule>
  </conditionalFormatting>
  <conditionalFormatting sqref="AJ14:AJ15">
    <cfRule type="expression" dxfId="17" priority="10" stopIfTrue="1">
      <formula>IF(WEEKDAY(AJ$5)=1,TRUE,FALSE)</formula>
    </cfRule>
  </conditionalFormatting>
  <conditionalFormatting sqref="AJ14:AJ15">
    <cfRule type="expression" dxfId="16" priority="9" stopIfTrue="1">
      <formula>IF(WEEKDAY(AJ$5)=1,TRUE,FALSE)</formula>
    </cfRule>
  </conditionalFormatting>
  <conditionalFormatting sqref="AJ14:AJ15">
    <cfRule type="expression" dxfId="15" priority="8" stopIfTrue="1">
      <formula>IF(WEEKDAY(AJ$5)=1,TRUE,FALSE)</formula>
    </cfRule>
  </conditionalFormatting>
  <conditionalFormatting sqref="AJ14:AJ15">
    <cfRule type="expression" dxfId="14" priority="7" stopIfTrue="1">
      <formula>IF(WEEKDAY(AJ$5)=1,TRUE,FALSE)</formula>
    </cfRule>
  </conditionalFormatting>
  <conditionalFormatting sqref="AJ14:AJ15">
    <cfRule type="expression" dxfId="13" priority="6" stopIfTrue="1">
      <formula>IF(WEEKDAY(AJ$5)=1,TRUE,FALSE)</formula>
    </cfRule>
  </conditionalFormatting>
  <conditionalFormatting sqref="F12:AI17">
    <cfRule type="expression" dxfId="12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29"/>
  <sheetViews>
    <sheetView zoomScaleNormal="70" workbookViewId="0">
      <pane xSplit="3" ySplit="8" topLeftCell="G13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B15" sqref="B15:B16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78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26"/>
      <c r="B1" s="186"/>
      <c r="C1" s="186"/>
      <c r="D1" s="273" t="str">
        <f>"BẢNG THANH TOÁN LƯƠNG THÁNG"&amp;" "&amp;TEXT($E$4,"mm")&amp;" / "&amp;TEXT($E$4,"yyyy")</f>
        <v>BẢNG THANH TOÁN LƯƠNG THÁNG 09 / 2017</v>
      </c>
      <c r="E1" s="273"/>
      <c r="F1" s="273"/>
      <c r="G1" s="273"/>
      <c r="H1" s="273"/>
      <c r="I1" s="273"/>
      <c r="J1" s="273"/>
      <c r="K1" s="273"/>
      <c r="L1" s="273"/>
      <c r="M1" s="273"/>
      <c r="N1" s="273"/>
      <c r="O1" s="273"/>
      <c r="P1" s="273"/>
      <c r="Q1" s="274"/>
      <c r="R1" s="275" t="s">
        <v>79</v>
      </c>
      <c r="S1" s="276"/>
      <c r="T1" s="277"/>
      <c r="U1" s="117" t="s">
        <v>51</v>
      </c>
      <c r="V1" s="97" t="s">
        <v>33</v>
      </c>
      <c r="W1" s="70"/>
      <c r="X1" s="70"/>
      <c r="Y1" s="5"/>
      <c r="Z1" s="5"/>
    </row>
    <row r="2" spans="1:31" s="4" customFormat="1" ht="15" customHeight="1">
      <c r="A2" s="126"/>
      <c r="B2" s="186"/>
      <c r="C2" s="186"/>
      <c r="D2" s="186"/>
      <c r="E2" s="68"/>
      <c r="F2" s="186"/>
      <c r="G2" s="186"/>
      <c r="H2" s="186"/>
      <c r="I2" s="186"/>
      <c r="J2" s="69"/>
      <c r="K2" s="186"/>
      <c r="L2" s="186"/>
      <c r="M2" s="186"/>
      <c r="N2" s="186"/>
      <c r="O2" s="186"/>
      <c r="P2" s="186"/>
      <c r="Q2" s="186"/>
      <c r="R2" s="186"/>
      <c r="S2" s="186"/>
      <c r="T2" s="46"/>
      <c r="U2" s="67">
        <f>MAX(F10:F18)</f>
        <v>25</v>
      </c>
      <c r="V2" s="98">
        <v>31</v>
      </c>
      <c r="W2" s="70"/>
      <c r="X2" s="70"/>
      <c r="Y2" s="5"/>
      <c r="Z2" s="5"/>
    </row>
    <row r="3" spans="1:31" s="4" customFormat="1" ht="15" customHeight="1">
      <c r="A3" s="126"/>
      <c r="B3" s="186"/>
      <c r="C3" s="186"/>
      <c r="D3" s="186"/>
      <c r="E3" s="68"/>
      <c r="F3" s="186"/>
      <c r="G3" s="186"/>
      <c r="H3" s="186"/>
      <c r="I3" s="186"/>
      <c r="J3" s="69"/>
      <c r="K3" s="186"/>
      <c r="L3" s="186"/>
      <c r="M3" s="186"/>
      <c r="N3" s="186"/>
      <c r="O3" s="186"/>
      <c r="P3" s="186"/>
      <c r="Q3" s="186"/>
      <c r="R3" s="186"/>
      <c r="S3" s="186"/>
      <c r="T3" s="46"/>
      <c r="U3" s="118"/>
      <c r="V3" s="119"/>
      <c r="W3" s="70"/>
      <c r="X3" s="70"/>
      <c r="Y3" s="5"/>
      <c r="Z3" s="5"/>
    </row>
    <row r="4" spans="1:31" s="92" customFormat="1" ht="14.25" customHeight="1">
      <c r="A4" s="90"/>
      <c r="B4" s="91"/>
      <c r="C4" s="91"/>
      <c r="D4" s="91"/>
      <c r="E4" s="175">
        <f>'CC -9'!$E$4</f>
        <v>42979</v>
      </c>
      <c r="F4" s="91"/>
      <c r="G4" s="91"/>
      <c r="H4" s="91"/>
      <c r="I4" s="91"/>
      <c r="J4" s="91"/>
      <c r="K4" s="91"/>
      <c r="L4" s="91"/>
      <c r="M4" s="91"/>
      <c r="N4" s="148">
        <v>0.08</v>
      </c>
      <c r="O4" s="148">
        <v>1.4999999999999999E-2</v>
      </c>
      <c r="P4" s="148">
        <v>0.01</v>
      </c>
      <c r="Q4" s="91"/>
      <c r="R4" s="91"/>
      <c r="S4" s="91"/>
      <c r="T4" s="91"/>
      <c r="U4" s="91"/>
      <c r="V4" s="93"/>
      <c r="W4" s="93"/>
      <c r="X4" s="93"/>
      <c r="Y4" s="93"/>
      <c r="Z4" s="93"/>
    </row>
    <row r="5" spans="1:31" s="21" customFormat="1" ht="24" customHeight="1">
      <c r="A5" s="278" t="s">
        <v>19</v>
      </c>
      <c r="B5" s="278" t="s">
        <v>20</v>
      </c>
      <c r="C5" s="232" t="s">
        <v>1</v>
      </c>
      <c r="D5" s="232" t="s">
        <v>2</v>
      </c>
      <c r="E5" s="235" t="s">
        <v>49</v>
      </c>
      <c r="F5" s="280" t="s">
        <v>24</v>
      </c>
      <c r="G5" s="281"/>
      <c r="H5" s="281"/>
      <c r="I5" s="281"/>
      <c r="J5" s="281"/>
      <c r="K5" s="282"/>
      <c r="L5" s="269" t="s">
        <v>50</v>
      </c>
      <c r="M5" s="269" t="s">
        <v>5</v>
      </c>
      <c r="N5" s="232" t="s">
        <v>6</v>
      </c>
      <c r="O5" s="232"/>
      <c r="P5" s="232"/>
      <c r="Q5" s="269" t="s">
        <v>7</v>
      </c>
      <c r="R5" s="269" t="s">
        <v>8</v>
      </c>
      <c r="S5" s="269" t="s">
        <v>9</v>
      </c>
      <c r="T5" s="233" t="s">
        <v>10</v>
      </c>
      <c r="U5" s="91"/>
      <c r="V5" s="22"/>
      <c r="W5" s="22"/>
      <c r="X5" s="5"/>
      <c r="Y5" s="5"/>
      <c r="Z5" s="5"/>
      <c r="AA5" s="4"/>
      <c r="AB5" s="4"/>
      <c r="AC5" s="4"/>
      <c r="AD5" s="4"/>
      <c r="AE5" s="4"/>
    </row>
    <row r="6" spans="1:31" s="21" customFormat="1" ht="33.75" customHeight="1">
      <c r="A6" s="279"/>
      <c r="B6" s="279"/>
      <c r="C6" s="232"/>
      <c r="D6" s="232"/>
      <c r="E6" s="235"/>
      <c r="F6" s="280" t="s">
        <v>52</v>
      </c>
      <c r="G6" s="282"/>
      <c r="H6" s="280" t="s">
        <v>71</v>
      </c>
      <c r="I6" s="281"/>
      <c r="J6" s="267" t="s">
        <v>25</v>
      </c>
      <c r="K6" s="269" t="s">
        <v>4</v>
      </c>
      <c r="L6" s="270"/>
      <c r="M6" s="270"/>
      <c r="N6" s="271" t="s">
        <v>12</v>
      </c>
      <c r="O6" s="269" t="s">
        <v>13</v>
      </c>
      <c r="P6" s="269" t="s">
        <v>31</v>
      </c>
      <c r="Q6" s="270"/>
      <c r="R6" s="270"/>
      <c r="S6" s="270"/>
      <c r="T6" s="234"/>
      <c r="U6" s="91"/>
      <c r="V6" s="22"/>
      <c r="W6" s="22"/>
      <c r="X6" s="5"/>
      <c r="Y6" s="5"/>
      <c r="Z6" s="5"/>
      <c r="AA6" s="4"/>
      <c r="AB6" s="4"/>
      <c r="AC6" s="4"/>
      <c r="AD6" s="4"/>
      <c r="AE6" s="4"/>
    </row>
    <row r="7" spans="1:31" s="21" customFormat="1" ht="35.25" customHeight="1">
      <c r="A7" s="279"/>
      <c r="B7" s="279"/>
      <c r="C7" s="269"/>
      <c r="D7" s="269"/>
      <c r="E7" s="235"/>
      <c r="F7" s="185" t="s">
        <v>34</v>
      </c>
      <c r="G7" s="183" t="s">
        <v>18</v>
      </c>
      <c r="H7" s="185" t="s">
        <v>34</v>
      </c>
      <c r="I7" s="115" t="s">
        <v>18</v>
      </c>
      <c r="J7" s="268"/>
      <c r="K7" s="270"/>
      <c r="L7" s="283"/>
      <c r="M7" s="283"/>
      <c r="N7" s="272"/>
      <c r="O7" s="270"/>
      <c r="P7" s="270"/>
      <c r="Q7" s="270"/>
      <c r="R7" s="270"/>
      <c r="S7" s="270"/>
      <c r="T7" s="234"/>
      <c r="U7" s="91"/>
      <c r="V7" s="22"/>
      <c r="W7" s="22"/>
      <c r="X7" s="5"/>
      <c r="Y7" s="5"/>
      <c r="Z7" s="5"/>
      <c r="AA7" s="4"/>
      <c r="AB7" s="4"/>
      <c r="AC7" s="4"/>
      <c r="AD7" s="4"/>
      <c r="AE7" s="4"/>
    </row>
    <row r="8" spans="1:31" s="72" customFormat="1" ht="12.75" customHeight="1">
      <c r="A8" s="71">
        <v>1</v>
      </c>
      <c r="B8" s="71">
        <v>1</v>
      </c>
      <c r="C8" s="71">
        <v>2</v>
      </c>
      <c r="D8" s="71">
        <v>3</v>
      </c>
      <c r="E8" s="71">
        <v>4</v>
      </c>
      <c r="F8" s="71">
        <v>5</v>
      </c>
      <c r="G8" s="71">
        <v>6</v>
      </c>
      <c r="H8" s="71">
        <v>7</v>
      </c>
      <c r="I8" s="71">
        <v>8</v>
      </c>
      <c r="J8" s="71">
        <v>9</v>
      </c>
      <c r="K8" s="71">
        <v>10</v>
      </c>
      <c r="L8" s="71">
        <v>11</v>
      </c>
      <c r="M8" s="71">
        <v>12</v>
      </c>
      <c r="N8" s="71">
        <v>13</v>
      </c>
      <c r="O8" s="71">
        <v>14</v>
      </c>
      <c r="P8" s="71">
        <v>15</v>
      </c>
      <c r="Q8" s="71">
        <v>16</v>
      </c>
      <c r="R8" s="71">
        <v>17</v>
      </c>
      <c r="S8" s="71">
        <v>18</v>
      </c>
      <c r="T8" s="71">
        <v>19</v>
      </c>
      <c r="U8" s="91"/>
      <c r="V8" s="73"/>
      <c r="W8" s="73"/>
      <c r="X8" s="74"/>
      <c r="Y8" s="74"/>
      <c r="Z8" s="74"/>
      <c r="AA8" s="75"/>
      <c r="AB8" s="75"/>
      <c r="AC8" s="75"/>
      <c r="AD8" s="75"/>
      <c r="AE8" s="75"/>
    </row>
    <row r="9" spans="1:31" s="72" customFormat="1" ht="24" customHeight="1">
      <c r="A9" s="174" t="s">
        <v>68</v>
      </c>
      <c r="B9" s="173" t="s">
        <v>80</v>
      </c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2"/>
      <c r="Q9" s="172"/>
      <c r="R9" s="172"/>
      <c r="S9" s="172"/>
      <c r="T9" s="172"/>
      <c r="U9" s="91"/>
      <c r="V9" s="73"/>
      <c r="W9" s="73"/>
      <c r="X9" s="74"/>
      <c r="Y9" s="74"/>
      <c r="Z9" s="74"/>
      <c r="AA9" s="75"/>
      <c r="AB9" s="75"/>
      <c r="AC9" s="75"/>
      <c r="AD9" s="75"/>
      <c r="AE9" s="75"/>
    </row>
    <row r="10" spans="1:31" s="29" customFormat="1" ht="24" customHeight="1">
      <c r="A10" s="31">
        <v>1</v>
      </c>
      <c r="B10" s="128" t="s">
        <v>74</v>
      </c>
      <c r="C10" s="76" t="str">
        <f t="shared" ref="C10" si="0">VLOOKUP(B10,DS,2,0)</f>
        <v>Nguyễn Thị Kim Quyên</v>
      </c>
      <c r="D10" s="103" t="str">
        <f t="shared" ref="D10" si="1">VLOOKUP(B10,DS,3,0)</f>
        <v>Văn Phòng</v>
      </c>
      <c r="E10" s="77">
        <f t="shared" ref="E10" si="2">VLOOKUP(B10,DS,4,0)</f>
        <v>4000000</v>
      </c>
      <c r="F10" s="79">
        <f>VLOOKUP(B10,'CC -9'!$B$8:$AS$17,36,0)</f>
        <v>25</v>
      </c>
      <c r="G10" s="132">
        <f t="shared" ref="G10" si="3">ROUND(E10/$U$2*F10,0)</f>
        <v>4000000</v>
      </c>
      <c r="H10" s="79">
        <f>(VLOOKUP(B10,'CC -9'!$B$8:$AS$17,37,0)+VLOOKUP(B10,'CC -9'!$B$8:$AS$17,38,0))</f>
        <v>0</v>
      </c>
      <c r="I10" s="132">
        <f t="shared" ref="I10" si="4">ROUND(E10/$U$2*H10,0)</f>
        <v>0</v>
      </c>
      <c r="J10" s="80">
        <f t="shared" ref="J10" si="5">F10+H10</f>
        <v>25</v>
      </c>
      <c r="K10" s="32">
        <f>G10+I10</f>
        <v>4000000</v>
      </c>
      <c r="L10" s="77">
        <f t="shared" ref="L10" si="6">+F10*15000</f>
        <v>375000</v>
      </c>
      <c r="M10" s="33">
        <f t="shared" ref="M10" si="7">K10+L10</f>
        <v>4375000</v>
      </c>
      <c r="N10" s="33">
        <f>IF(VLOOKUP($B10,DS,25,0)="x",$E10*N$4,0)</f>
        <v>0</v>
      </c>
      <c r="O10" s="33">
        <f>IF(VLOOKUP($B10,DS,25,0)="x",$E10*O$4,0)</f>
        <v>0</v>
      </c>
      <c r="P10" s="33">
        <f>IF(VLOOKUP($B10,DS,25,0)="x",$E10*P$4,0)</f>
        <v>0</v>
      </c>
      <c r="Q10" s="32">
        <f t="shared" ref="Q10" si="8">M10-SUM(N10:P10)</f>
        <v>4375000</v>
      </c>
      <c r="R10" s="32">
        <f>VLOOKUP(B10,DS,23,0)</f>
        <v>0</v>
      </c>
      <c r="S10" s="38">
        <f t="shared" ref="S10" si="9">Q10-R10</f>
        <v>4375000</v>
      </c>
      <c r="T10" s="32"/>
      <c r="U10" s="91"/>
      <c r="V10" s="30"/>
      <c r="W10" s="22"/>
      <c r="X10" s="5"/>
      <c r="Y10" s="5"/>
      <c r="Z10" s="5"/>
      <c r="AA10" s="4"/>
      <c r="AB10" s="4"/>
      <c r="AC10" s="4"/>
      <c r="AD10" s="4"/>
      <c r="AE10" s="4"/>
    </row>
    <row r="11" spans="1:31" s="29" customFormat="1" ht="24" customHeight="1">
      <c r="A11" s="187"/>
      <c r="B11" s="188"/>
      <c r="C11" s="189"/>
      <c r="D11" s="190"/>
      <c r="E11" s="191"/>
      <c r="F11" s="192"/>
      <c r="G11" s="193"/>
      <c r="H11" s="192"/>
      <c r="I11" s="193"/>
      <c r="J11" s="194"/>
      <c r="K11" s="195"/>
      <c r="L11" s="191"/>
      <c r="M11" s="196"/>
      <c r="N11" s="196"/>
      <c r="O11" s="196"/>
      <c r="P11" s="196"/>
      <c r="Q11" s="195"/>
      <c r="R11" s="195"/>
      <c r="S11" s="197"/>
      <c r="T11" s="195"/>
      <c r="U11" s="91"/>
      <c r="V11" s="30"/>
      <c r="W11" s="22"/>
      <c r="X11" s="5"/>
      <c r="Y11" s="5"/>
      <c r="Z11" s="5"/>
      <c r="AA11" s="4"/>
      <c r="AB11" s="4"/>
      <c r="AC11" s="4"/>
      <c r="AD11" s="4"/>
      <c r="AE11" s="4"/>
    </row>
    <row r="12" spans="1:31" s="25" customFormat="1" ht="21" customHeight="1">
      <c r="A12" s="221" t="s">
        <v>23</v>
      </c>
      <c r="B12" s="222"/>
      <c r="C12" s="222"/>
      <c r="D12" s="223"/>
      <c r="E12" s="127">
        <f>SUM(E9:E10)</f>
        <v>4000000</v>
      </c>
      <c r="F12" s="127"/>
      <c r="G12" s="127">
        <f>SUM(G9:G10)</f>
        <v>4000000</v>
      </c>
      <c r="H12" s="127"/>
      <c r="I12" s="127">
        <f>SUM(I9:I10)</f>
        <v>0</v>
      </c>
      <c r="J12" s="127"/>
      <c r="K12" s="127">
        <f t="shared" ref="K12:S12" si="10">SUM(K9:K10)</f>
        <v>4000000</v>
      </c>
      <c r="L12" s="127">
        <f t="shared" si="10"/>
        <v>375000</v>
      </c>
      <c r="M12" s="127">
        <f t="shared" si="10"/>
        <v>4375000</v>
      </c>
      <c r="N12" s="127">
        <f t="shared" si="10"/>
        <v>0</v>
      </c>
      <c r="O12" s="127">
        <f t="shared" si="10"/>
        <v>0</v>
      </c>
      <c r="P12" s="127">
        <f t="shared" si="10"/>
        <v>0</v>
      </c>
      <c r="Q12" s="127">
        <f t="shared" si="10"/>
        <v>4375000</v>
      </c>
      <c r="R12" s="127">
        <f t="shared" si="10"/>
        <v>0</v>
      </c>
      <c r="S12" s="127">
        <f t="shared" si="10"/>
        <v>4375000</v>
      </c>
      <c r="T12" s="20"/>
      <c r="U12" s="91"/>
      <c r="V12" s="26"/>
      <c r="W12" s="26"/>
      <c r="X12" s="26"/>
      <c r="Y12" s="26"/>
      <c r="Z12" s="26"/>
    </row>
    <row r="13" spans="1:31" s="72" customFormat="1" ht="24" customHeight="1">
      <c r="A13" s="174" t="s">
        <v>69</v>
      </c>
      <c r="B13" s="173" t="s">
        <v>70</v>
      </c>
      <c r="C13" s="172"/>
      <c r="D13" s="172"/>
      <c r="E13" s="172"/>
      <c r="F13" s="172"/>
      <c r="G13" s="172"/>
      <c r="H13" s="172"/>
      <c r="I13" s="172"/>
      <c r="J13" s="172"/>
      <c r="K13" s="172"/>
      <c r="L13" s="172"/>
      <c r="M13" s="172"/>
      <c r="N13" s="172"/>
      <c r="O13" s="172"/>
      <c r="P13" s="172"/>
      <c r="Q13" s="172"/>
      <c r="R13" s="172"/>
      <c r="S13" s="172"/>
      <c r="T13" s="172"/>
      <c r="U13" s="91"/>
      <c r="V13" s="73"/>
      <c r="W13" s="73"/>
      <c r="X13" s="74"/>
      <c r="Y13" s="74"/>
      <c r="Z13" s="74"/>
      <c r="AA13" s="75"/>
      <c r="AB13" s="75"/>
      <c r="AC13" s="75"/>
      <c r="AD13" s="75"/>
      <c r="AE13" s="75"/>
    </row>
    <row r="14" spans="1:31" s="29" customFormat="1" ht="24" customHeight="1">
      <c r="A14" s="31">
        <v>1</v>
      </c>
      <c r="B14" s="128" t="s">
        <v>75</v>
      </c>
      <c r="C14" s="76" t="str">
        <f t="shared" ref="C14:C16" si="11">VLOOKUP(B14,DS,2,0)</f>
        <v>Lê Văn Hữu</v>
      </c>
      <c r="D14" s="103" t="str">
        <f t="shared" ref="D14:D16" si="12">VLOOKUP(B14,DS,3,0)</f>
        <v>Công Đoạn 1</v>
      </c>
      <c r="E14" s="77">
        <f t="shared" ref="E14:E16" si="13">VLOOKUP(B14,DS,4,0)</f>
        <v>3200000</v>
      </c>
      <c r="F14" s="79">
        <f>VLOOKUP(B14,'CC -9'!$B$8:$AS$17,36,0)</f>
        <v>25</v>
      </c>
      <c r="G14" s="132">
        <f t="shared" ref="G14:G16" si="14">ROUND(E14/$U$2*F14,0)</f>
        <v>3200000</v>
      </c>
      <c r="H14" s="79">
        <f>(VLOOKUP(B14,'CC -9'!$B$8:$AS$17,37,0)+VLOOKUP(B14,'CC -9'!$B$8:$AS$17,38,0))</f>
        <v>0</v>
      </c>
      <c r="I14" s="132">
        <f t="shared" ref="I14:I16" si="15">ROUND(E14/$U$2*H14,0)</f>
        <v>0</v>
      </c>
      <c r="J14" s="133">
        <f t="shared" ref="J14:K16" si="16">F14+H14</f>
        <v>25</v>
      </c>
      <c r="K14" s="32">
        <f t="shared" si="16"/>
        <v>3200000</v>
      </c>
      <c r="L14" s="77">
        <f t="shared" ref="L14:L16" si="17">+F14*15000</f>
        <v>375000</v>
      </c>
      <c r="M14" s="33">
        <f t="shared" ref="M14:M16" si="18">K14+L14</f>
        <v>3575000</v>
      </c>
      <c r="N14" s="33">
        <f t="shared" ref="N14:P16" si="19">IF(VLOOKUP($B14,DS,25,0)="x",$E14*N$4,0)</f>
        <v>0</v>
      </c>
      <c r="O14" s="33">
        <f t="shared" si="19"/>
        <v>0</v>
      </c>
      <c r="P14" s="33">
        <f t="shared" si="19"/>
        <v>0</v>
      </c>
      <c r="Q14" s="32">
        <f>M14-SUM(N14:P14)</f>
        <v>3575000</v>
      </c>
      <c r="R14" s="32">
        <f t="shared" ref="R14:R16" si="20">VLOOKUP(B14,DS,23,0)</f>
        <v>0</v>
      </c>
      <c r="S14" s="38">
        <f>Q14-R14</f>
        <v>3575000</v>
      </c>
      <c r="T14" s="32"/>
      <c r="U14" s="91"/>
      <c r="V14" s="30"/>
      <c r="W14" s="22"/>
      <c r="X14" s="5"/>
      <c r="Y14" s="5"/>
      <c r="Z14" s="5"/>
      <c r="AA14" s="4"/>
      <c r="AB14" s="4"/>
      <c r="AC14" s="4"/>
      <c r="AD14" s="4"/>
      <c r="AE14" s="4"/>
    </row>
    <row r="15" spans="1:31" s="29" customFormat="1" ht="24" customHeight="1">
      <c r="A15" s="31">
        <v>2</v>
      </c>
      <c r="B15" s="128" t="s">
        <v>76</v>
      </c>
      <c r="C15" s="76" t="str">
        <f t="shared" ref="C15" si="21">VLOOKUP(B15,DS,2,0)</f>
        <v>Lý Thanh Hải</v>
      </c>
      <c r="D15" s="103" t="str">
        <f t="shared" ref="D15" si="22">VLOOKUP(B15,DS,3,0)</f>
        <v>Công Đoạn 1</v>
      </c>
      <c r="E15" s="77">
        <f t="shared" ref="E15" si="23">VLOOKUP(B15,DS,4,0)</f>
        <v>5000000</v>
      </c>
      <c r="F15" s="79">
        <f>VLOOKUP(B15,'CC -9'!$B$8:$AS$17,36,0)</f>
        <v>25</v>
      </c>
      <c r="G15" s="132">
        <f t="shared" ref="G15" si="24">ROUND(E15/$U$2*F15,0)</f>
        <v>5000000</v>
      </c>
      <c r="H15" s="79">
        <f>(VLOOKUP(B15,'CC -9'!$B$8:$AS$17,37,0)+VLOOKUP(B15,'CC -9'!$B$8:$AS$17,38,0))</f>
        <v>0</v>
      </c>
      <c r="I15" s="132">
        <f t="shared" ref="I15" si="25">ROUND(E15/$U$2*H15,0)</f>
        <v>0</v>
      </c>
      <c r="J15" s="133">
        <f t="shared" ref="J15" si="26">F15+H15</f>
        <v>25</v>
      </c>
      <c r="K15" s="32">
        <f t="shared" ref="K15" si="27">G15+I15</f>
        <v>5000000</v>
      </c>
      <c r="L15" s="77">
        <f t="shared" ref="L15" si="28">+F15*15000</f>
        <v>375000</v>
      </c>
      <c r="M15" s="33">
        <f t="shared" ref="M15" si="29">K15+L15</f>
        <v>5375000</v>
      </c>
      <c r="N15" s="33">
        <f t="shared" si="19"/>
        <v>0</v>
      </c>
      <c r="O15" s="33">
        <f t="shared" si="19"/>
        <v>0</v>
      </c>
      <c r="P15" s="33">
        <f t="shared" si="19"/>
        <v>0</v>
      </c>
      <c r="Q15" s="32">
        <f t="shared" ref="Q15" si="30">M15-SUM(N15:P15)</f>
        <v>5375000</v>
      </c>
      <c r="R15" s="32">
        <f t="shared" ref="R15" si="31">VLOOKUP(B15,DS,23,0)</f>
        <v>0</v>
      </c>
      <c r="S15" s="38">
        <f t="shared" ref="S15" si="32">Q15-R15</f>
        <v>5375000</v>
      </c>
      <c r="T15" s="32"/>
      <c r="U15" s="91"/>
      <c r="V15" s="30"/>
      <c r="W15" s="22"/>
      <c r="X15" s="5"/>
      <c r="Y15" s="5"/>
      <c r="Z15" s="5"/>
      <c r="AA15" s="4"/>
      <c r="AB15" s="4"/>
      <c r="AC15" s="4"/>
      <c r="AD15" s="4"/>
      <c r="AE15" s="4"/>
    </row>
    <row r="16" spans="1:31" s="29" customFormat="1" ht="24" customHeight="1">
      <c r="A16" s="31">
        <v>3</v>
      </c>
      <c r="B16" s="128" t="s">
        <v>77</v>
      </c>
      <c r="C16" s="76" t="str">
        <f t="shared" si="11"/>
        <v>Cao Minh Chí</v>
      </c>
      <c r="D16" s="103" t="str">
        <f t="shared" si="12"/>
        <v>Công Đoạn 2</v>
      </c>
      <c r="E16" s="77">
        <f t="shared" si="13"/>
        <v>3200000</v>
      </c>
      <c r="F16" s="79">
        <f>VLOOKUP(B16,'CC -9'!$B$8:$AS$17,36,0)</f>
        <v>25</v>
      </c>
      <c r="G16" s="132">
        <f t="shared" si="14"/>
        <v>3200000</v>
      </c>
      <c r="H16" s="79">
        <f>(VLOOKUP(B16,'CC -9'!$B$8:$AS$17,37,0)+VLOOKUP(B16,'CC -9'!$B$8:$AS$17,38,0))</f>
        <v>0</v>
      </c>
      <c r="I16" s="132">
        <f t="shared" si="15"/>
        <v>0</v>
      </c>
      <c r="J16" s="133">
        <f t="shared" si="16"/>
        <v>25</v>
      </c>
      <c r="K16" s="32">
        <f t="shared" si="16"/>
        <v>3200000</v>
      </c>
      <c r="L16" s="77">
        <f t="shared" si="17"/>
        <v>375000</v>
      </c>
      <c r="M16" s="33">
        <f t="shared" si="18"/>
        <v>3575000</v>
      </c>
      <c r="N16" s="33">
        <f t="shared" si="19"/>
        <v>0</v>
      </c>
      <c r="O16" s="33">
        <f t="shared" si="19"/>
        <v>0</v>
      </c>
      <c r="P16" s="33">
        <f t="shared" si="19"/>
        <v>0</v>
      </c>
      <c r="Q16" s="32">
        <f t="shared" ref="Q16" si="33">M16-SUM(N16:P16)</f>
        <v>3575000</v>
      </c>
      <c r="R16" s="32">
        <f t="shared" si="20"/>
        <v>0</v>
      </c>
      <c r="S16" s="38">
        <f t="shared" ref="S16" si="34">Q16-R16</f>
        <v>3575000</v>
      </c>
      <c r="T16" s="32"/>
      <c r="U16" s="91"/>
      <c r="V16" s="30"/>
      <c r="W16" s="22"/>
      <c r="X16" s="5"/>
      <c r="Y16" s="5"/>
      <c r="Z16" s="5"/>
      <c r="AA16" s="4"/>
      <c r="AB16" s="4"/>
      <c r="AC16" s="4"/>
      <c r="AD16" s="4"/>
      <c r="AE16" s="4"/>
    </row>
    <row r="17" spans="1:26" s="29" customFormat="1" ht="22.5" customHeight="1">
      <c r="A17" s="34"/>
      <c r="B17" s="171"/>
      <c r="C17" s="35"/>
      <c r="D17" s="3"/>
      <c r="E17" s="36"/>
      <c r="F17" s="36"/>
      <c r="G17" s="36"/>
      <c r="H17" s="36"/>
      <c r="I17" s="36"/>
      <c r="J17" s="37"/>
      <c r="K17" s="36"/>
      <c r="L17" s="36"/>
      <c r="M17" s="170"/>
      <c r="N17" s="36"/>
      <c r="O17" s="36"/>
      <c r="P17" s="36"/>
      <c r="Q17" s="36"/>
      <c r="R17" s="36"/>
      <c r="S17" s="36"/>
      <c r="T17" s="32"/>
      <c r="U17" s="91"/>
      <c r="V17" s="30"/>
      <c r="W17" s="30"/>
      <c r="X17" s="30"/>
      <c r="Y17" s="30"/>
      <c r="Z17" s="30"/>
    </row>
    <row r="18" spans="1:26" s="25" customFormat="1" ht="21" customHeight="1">
      <c r="A18" s="221" t="s">
        <v>23</v>
      </c>
      <c r="B18" s="222"/>
      <c r="C18" s="222"/>
      <c r="D18" s="223"/>
      <c r="E18" s="127">
        <f>SUM(E13:E17)</f>
        <v>11400000</v>
      </c>
      <c r="F18" s="127"/>
      <c r="G18" s="127">
        <f>SUM(G13:G17)</f>
        <v>11400000</v>
      </c>
      <c r="H18" s="127"/>
      <c r="I18" s="127">
        <f>SUM(I13:I17)</f>
        <v>0</v>
      </c>
      <c r="J18" s="127"/>
      <c r="K18" s="127">
        <f t="shared" ref="K18:S18" si="35">SUM(K13:K17)</f>
        <v>11400000</v>
      </c>
      <c r="L18" s="127">
        <f t="shared" si="35"/>
        <v>1125000</v>
      </c>
      <c r="M18" s="127">
        <f t="shared" si="35"/>
        <v>12525000</v>
      </c>
      <c r="N18" s="127">
        <f t="shared" si="35"/>
        <v>0</v>
      </c>
      <c r="O18" s="127">
        <f t="shared" si="35"/>
        <v>0</v>
      </c>
      <c r="P18" s="127">
        <f t="shared" si="35"/>
        <v>0</v>
      </c>
      <c r="Q18" s="127">
        <f t="shared" si="35"/>
        <v>12525000</v>
      </c>
      <c r="R18" s="127">
        <f t="shared" si="35"/>
        <v>0</v>
      </c>
      <c r="S18" s="127">
        <f t="shared" si="35"/>
        <v>12525000</v>
      </c>
      <c r="T18" s="20"/>
      <c r="U18" s="91"/>
      <c r="V18" s="26"/>
      <c r="W18" s="26"/>
      <c r="X18" s="26"/>
      <c r="Y18" s="26"/>
      <c r="Z18" s="26"/>
    </row>
    <row r="19" spans="1:26" ht="11.25" customHeight="1">
      <c r="A19" s="8"/>
      <c r="B19" s="8"/>
      <c r="C19" s="9"/>
      <c r="D19" s="104"/>
      <c r="E19" s="81"/>
      <c r="F19" s="9"/>
      <c r="G19" s="9"/>
      <c r="H19" s="9"/>
      <c r="I19" s="9"/>
      <c r="K19" s="9"/>
      <c r="L19" s="9"/>
      <c r="M19" s="89"/>
      <c r="N19" s="9"/>
      <c r="O19" s="9"/>
      <c r="P19" s="9"/>
      <c r="Q19" s="9"/>
      <c r="R19" s="9"/>
      <c r="S19" s="9"/>
      <c r="T19" s="9"/>
      <c r="U19" s="91"/>
    </row>
    <row r="20" spans="1:26" s="29" customFormat="1" ht="11.25" customHeight="1">
      <c r="A20" s="65"/>
      <c r="B20" s="65"/>
      <c r="C20" s="65"/>
      <c r="D20" s="120"/>
      <c r="E20" s="121"/>
      <c r="F20" s="65"/>
      <c r="G20" s="65"/>
      <c r="H20" s="65"/>
      <c r="I20" s="65"/>
      <c r="J20" s="122"/>
      <c r="K20" s="121"/>
      <c r="L20" s="65"/>
      <c r="M20" s="65"/>
      <c r="N20" s="65"/>
      <c r="O20" s="65"/>
      <c r="P20" s="65"/>
      <c r="Q20" s="65"/>
      <c r="R20" s="65"/>
      <c r="S20" s="95" t="str">
        <f>"Bình Chánh, ngày  "&amp;$V$2&amp;"   tháng   "&amp;TEXT($E$4,"mm")&amp;"   năm "&amp;TEXT($E$4,"yyyy")</f>
        <v>Bình Chánh, ngày  31   tháng   09   năm 2017</v>
      </c>
      <c r="T20" s="65"/>
      <c r="U20" s="123"/>
      <c r="V20" s="30"/>
      <c r="W20" s="30"/>
      <c r="X20" s="30"/>
      <c r="Y20" s="30"/>
      <c r="Z20" s="30"/>
    </row>
    <row r="21" spans="1:26" s="29" customFormat="1" ht="12.75">
      <c r="A21" s="23"/>
      <c r="B21" s="23"/>
      <c r="C21" s="23" t="s">
        <v>53</v>
      </c>
      <c r="D21" s="124"/>
      <c r="E21" s="66"/>
      <c r="F21" s="123"/>
      <c r="G21" s="66"/>
      <c r="H21" s="66"/>
      <c r="I21" s="66"/>
      <c r="J21" s="125"/>
      <c r="K21" s="30"/>
      <c r="L21" s="23"/>
      <c r="M21" s="134"/>
      <c r="N21" s="19"/>
      <c r="O21" s="19"/>
      <c r="P21" s="19"/>
      <c r="Q21" s="19"/>
      <c r="S21" s="123" t="s">
        <v>21</v>
      </c>
      <c r="T21" s="123"/>
      <c r="U21" s="123"/>
      <c r="V21" s="30"/>
      <c r="W21" s="30"/>
      <c r="X21" s="30"/>
      <c r="Y21" s="30"/>
      <c r="Z21" s="30"/>
    </row>
    <row r="22" spans="1:26" ht="12">
      <c r="A22" s="8"/>
      <c r="B22" s="8"/>
      <c r="C22" s="15"/>
      <c r="E22" s="13"/>
      <c r="F22" s="12"/>
      <c r="G22" s="13"/>
      <c r="H22" s="13"/>
      <c r="I22" s="13"/>
      <c r="K22" s="7"/>
      <c r="L22" s="15"/>
      <c r="N22" s="11"/>
      <c r="O22" s="11"/>
      <c r="P22" s="11"/>
      <c r="Q22" s="11"/>
      <c r="S22" s="11"/>
      <c r="T22" s="12"/>
      <c r="U22" s="91"/>
    </row>
    <row r="23" spans="1:26" ht="12">
      <c r="C23" s="15"/>
      <c r="L23" s="15"/>
      <c r="T23" s="15"/>
      <c r="U23" s="91"/>
    </row>
    <row r="24" spans="1:26" ht="12">
      <c r="U24" s="91"/>
    </row>
    <row r="25" spans="1:26" ht="12">
      <c r="U25" s="91"/>
    </row>
    <row r="26" spans="1:26" ht="12">
      <c r="U26" s="91"/>
    </row>
    <row r="27" spans="1:26" ht="12">
      <c r="U27" s="91"/>
    </row>
    <row r="28" spans="1:26" ht="12">
      <c r="U28" s="91"/>
    </row>
    <row r="29" spans="1:26" ht="12">
      <c r="U29" s="91"/>
    </row>
  </sheetData>
  <protectedRanges>
    <protectedRange password="CC78" sqref="V17:IK18 C5:D7 B21:C21 V5:W9 A17:A22 B17:B20 B22 V13:W13 Q5:T7 E5:I6 D18 N5:P6 L5 L21 J6:K7 L7 A24:T57 U30:U57 N17:S17 V24:IK57 J17:L17 A58:IK65325 AF13:IK13 V12:IK12 D12 Q10:S11 W10:W11 AF5:IK11 A10:B12" name="Range1"/>
    <protectedRange password="CC78" sqref="F7:H7" name="Range1_4"/>
    <protectedRange password="CC78" sqref="V21:IK22 S21:T22 N21:Q22 E21:I22" name="Range1_1_1"/>
    <protectedRange password="CC78" sqref="U1 W1:IK3 V4:IK4 B4:T4 R2:S3 B1:Q3 U17:U29 X13:AE13 U4:U13 X5:AE11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AF14:IK16 Q14:S16 W14:W16 A14:B16" name="Range1_5"/>
    <protectedRange password="CC78" sqref="X14:AE16 U14:U16" name="Range1_2_3"/>
    <protectedRange password="CC78" sqref="V14:V16" name="Range1_1_3"/>
    <protectedRange password="CC78" sqref="K10:K11 K14:K16" name="Range1_6"/>
    <protectedRange password="CC78" sqref="A2:A3" name="Range1_2_1_3"/>
    <protectedRange password="CC78" sqref="E12:T12" name="Range1_3"/>
    <protectedRange password="CC78" sqref="E18:T18" name="Range1_7"/>
    <protectedRange password="CC78" sqref="U2" name="Range1_2_2_1_1"/>
  </protectedRanges>
  <autoFilter ref="A7:AE10"/>
  <mergeCells count="22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F17" sqref="F1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8" customWidth="1"/>
    <col min="5" max="5" width="7.140625" style="2" customWidth="1"/>
    <col min="6" max="33" width="3.42578125" style="110" customWidth="1"/>
    <col min="34" max="36" width="3.42578125" style="111" customWidth="1"/>
    <col min="37" max="38" width="4.42578125" style="2" customWidth="1"/>
    <col min="39" max="39" width="5.5703125" style="8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6"/>
      <c r="B1" s="41"/>
      <c r="C1" s="41"/>
      <c r="D1" s="45"/>
      <c r="E1" s="41"/>
      <c r="F1" s="45"/>
      <c r="G1" s="45"/>
      <c r="H1" s="45"/>
      <c r="I1" s="45"/>
      <c r="J1" s="45"/>
      <c r="K1" s="106"/>
      <c r="L1" s="106"/>
      <c r="M1" s="106"/>
      <c r="N1" s="106"/>
      <c r="O1" s="106"/>
      <c r="P1" s="106"/>
      <c r="Q1" s="106"/>
      <c r="R1" s="106"/>
      <c r="S1" s="43" t="str">
        <f>CONCATENATE("BẢNG CHẤM CÔNG THÁNG ",TEXT($E$4,"mm")," NĂM ",TEXT($E$4,"yyyy"))</f>
        <v>BẢNG CHẤM CÔNG THÁNG 10 NĂM 2017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42"/>
      <c r="AL1" s="42"/>
      <c r="AM1" s="259" t="s">
        <v>79</v>
      </c>
      <c r="AN1" s="260"/>
      <c r="AO1" s="260"/>
      <c r="AP1" s="260"/>
      <c r="AQ1" s="260"/>
      <c r="AR1" s="260"/>
      <c r="AS1" s="261"/>
      <c r="AT1" s="44"/>
    </row>
    <row r="2" spans="1:91" ht="20.25">
      <c r="A2" s="126"/>
      <c r="B2" s="45"/>
      <c r="C2" s="45"/>
      <c r="D2" s="45"/>
      <c r="E2" s="45"/>
      <c r="F2" s="45"/>
      <c r="G2" s="45"/>
      <c r="H2" s="45"/>
      <c r="I2" s="45"/>
      <c r="J2" s="45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42"/>
      <c r="AL2" s="42"/>
      <c r="AM2" s="83"/>
      <c r="AN2" s="46"/>
      <c r="AO2" s="46"/>
      <c r="AP2" s="46"/>
      <c r="AQ2" s="46"/>
      <c r="AR2" s="46"/>
      <c r="AS2" s="82"/>
      <c r="AT2" s="82"/>
    </row>
    <row r="3" spans="1:91" ht="21" customHeight="1">
      <c r="A3" s="126"/>
      <c r="B3" s="47"/>
      <c r="C3" s="47"/>
      <c r="D3" s="48"/>
      <c r="E3" s="48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42"/>
      <c r="AL3" s="42"/>
      <c r="AM3" s="83"/>
      <c r="AN3" s="44"/>
      <c r="AO3" s="44"/>
      <c r="AP3" s="44"/>
      <c r="AQ3" s="44"/>
      <c r="AR3" s="44"/>
      <c r="AS3" s="49"/>
      <c r="AT3" s="49"/>
    </row>
    <row r="4" spans="1:91" ht="14.25" customHeight="1">
      <c r="A4" s="50"/>
      <c r="B4" s="50"/>
      <c r="C4" s="142"/>
      <c r="D4" s="141"/>
      <c r="E4" s="51">
        <v>43009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3"/>
      <c r="AI4" s="53"/>
      <c r="AJ4" s="53"/>
      <c r="AK4" s="50"/>
      <c r="AL4" s="50"/>
      <c r="AM4" s="84"/>
      <c r="AN4" s="50"/>
      <c r="AO4" s="50"/>
      <c r="AP4" s="50"/>
      <c r="AQ4" s="50"/>
      <c r="AR4" s="50"/>
      <c r="AS4" s="50"/>
      <c r="AT4" s="88"/>
    </row>
    <row r="5" spans="1:91" s="54" customFormat="1" ht="18.75" customHeight="1">
      <c r="A5" s="256" t="s">
        <v>26</v>
      </c>
      <c r="B5" s="256" t="s">
        <v>3</v>
      </c>
      <c r="C5" s="256" t="s">
        <v>1</v>
      </c>
      <c r="D5" s="258" t="s">
        <v>27</v>
      </c>
      <c r="E5" s="256" t="s">
        <v>28</v>
      </c>
      <c r="F5" s="105">
        <f>+E4</f>
        <v>43009</v>
      </c>
      <c r="G5" s="105">
        <f t="shared" ref="G5:AJ5" si="0">F5+1</f>
        <v>43010</v>
      </c>
      <c r="H5" s="105">
        <f t="shared" si="0"/>
        <v>43011</v>
      </c>
      <c r="I5" s="105">
        <f t="shared" si="0"/>
        <v>43012</v>
      </c>
      <c r="J5" s="105">
        <f t="shared" si="0"/>
        <v>43013</v>
      </c>
      <c r="K5" s="105">
        <f t="shared" si="0"/>
        <v>43014</v>
      </c>
      <c r="L5" s="105">
        <f t="shared" si="0"/>
        <v>43015</v>
      </c>
      <c r="M5" s="105">
        <f t="shared" si="0"/>
        <v>43016</v>
      </c>
      <c r="N5" s="105">
        <f t="shared" si="0"/>
        <v>43017</v>
      </c>
      <c r="O5" s="105">
        <f t="shared" si="0"/>
        <v>43018</v>
      </c>
      <c r="P5" s="105">
        <f t="shared" si="0"/>
        <v>43019</v>
      </c>
      <c r="Q5" s="105">
        <f t="shared" si="0"/>
        <v>43020</v>
      </c>
      <c r="R5" s="105">
        <f t="shared" si="0"/>
        <v>43021</v>
      </c>
      <c r="S5" s="105">
        <f t="shared" si="0"/>
        <v>43022</v>
      </c>
      <c r="T5" s="105">
        <f t="shared" si="0"/>
        <v>43023</v>
      </c>
      <c r="U5" s="105">
        <f t="shared" si="0"/>
        <v>43024</v>
      </c>
      <c r="V5" s="105">
        <f t="shared" si="0"/>
        <v>43025</v>
      </c>
      <c r="W5" s="105">
        <f t="shared" si="0"/>
        <v>43026</v>
      </c>
      <c r="X5" s="105">
        <f t="shared" si="0"/>
        <v>43027</v>
      </c>
      <c r="Y5" s="105">
        <f t="shared" si="0"/>
        <v>43028</v>
      </c>
      <c r="Z5" s="105">
        <f t="shared" si="0"/>
        <v>43029</v>
      </c>
      <c r="AA5" s="105">
        <f t="shared" si="0"/>
        <v>43030</v>
      </c>
      <c r="AB5" s="105">
        <f t="shared" si="0"/>
        <v>43031</v>
      </c>
      <c r="AC5" s="105">
        <f t="shared" si="0"/>
        <v>43032</v>
      </c>
      <c r="AD5" s="105">
        <f t="shared" si="0"/>
        <v>43033</v>
      </c>
      <c r="AE5" s="105">
        <f t="shared" si="0"/>
        <v>43034</v>
      </c>
      <c r="AF5" s="105">
        <f t="shared" si="0"/>
        <v>43035</v>
      </c>
      <c r="AG5" s="105">
        <f t="shared" si="0"/>
        <v>43036</v>
      </c>
      <c r="AH5" s="105">
        <f>AG5+1</f>
        <v>43037</v>
      </c>
      <c r="AI5" s="105">
        <f t="shared" si="0"/>
        <v>43038</v>
      </c>
      <c r="AJ5" s="105">
        <f t="shared" si="0"/>
        <v>43039</v>
      </c>
      <c r="AK5" s="262" t="s">
        <v>15</v>
      </c>
      <c r="AL5" s="263"/>
      <c r="AM5" s="264"/>
      <c r="AN5" s="265" t="s">
        <v>39</v>
      </c>
      <c r="AO5" s="265" t="s">
        <v>35</v>
      </c>
      <c r="AP5" s="265" t="s">
        <v>36</v>
      </c>
      <c r="AQ5" s="265" t="s">
        <v>37</v>
      </c>
      <c r="AR5" s="265" t="s">
        <v>38</v>
      </c>
      <c r="AS5" s="258" t="s">
        <v>0</v>
      </c>
      <c r="AT5" s="25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4" customFormat="1" ht="39.75" customHeight="1">
      <c r="A6" s="257"/>
      <c r="B6" s="257"/>
      <c r="C6" s="257"/>
      <c r="D6" s="257"/>
      <c r="E6" s="257"/>
      <c r="F6" s="160" t="str">
        <f>CHOOSE(WEEKDAY(F5),"C.Nhật","T.Hai","T.Ba","T.Tư","T.Năm","T.Sáu","T.Bảy")</f>
        <v>C.Nhật</v>
      </c>
      <c r="G6" s="160" t="str">
        <f t="shared" ref="G6:AJ6" si="1">CHOOSE(WEEKDAY(G5),"C.Nhật","T.Hai","T.Ba","T.Tư","T.Năm","T.Sáu","T.Bảy")</f>
        <v>T.Hai</v>
      </c>
      <c r="H6" s="160" t="str">
        <f t="shared" si="1"/>
        <v>T.Ba</v>
      </c>
      <c r="I6" s="160" t="str">
        <f t="shared" si="1"/>
        <v>T.Tư</v>
      </c>
      <c r="J6" s="160" t="str">
        <f t="shared" si="1"/>
        <v>T.Năm</v>
      </c>
      <c r="K6" s="160" t="str">
        <f t="shared" si="1"/>
        <v>T.Sáu</v>
      </c>
      <c r="L6" s="160" t="str">
        <f t="shared" si="1"/>
        <v>T.Bảy</v>
      </c>
      <c r="M6" s="160" t="str">
        <f t="shared" si="1"/>
        <v>C.Nhật</v>
      </c>
      <c r="N6" s="160" t="str">
        <f t="shared" si="1"/>
        <v>T.Hai</v>
      </c>
      <c r="O6" s="160" t="str">
        <f t="shared" si="1"/>
        <v>T.Ba</v>
      </c>
      <c r="P6" s="160" t="str">
        <f t="shared" si="1"/>
        <v>T.Tư</v>
      </c>
      <c r="Q6" s="160" t="str">
        <f t="shared" si="1"/>
        <v>T.Năm</v>
      </c>
      <c r="R6" s="160" t="str">
        <f t="shared" si="1"/>
        <v>T.Sáu</v>
      </c>
      <c r="S6" s="160" t="str">
        <f t="shared" si="1"/>
        <v>T.Bảy</v>
      </c>
      <c r="T6" s="160" t="str">
        <f t="shared" si="1"/>
        <v>C.Nhật</v>
      </c>
      <c r="U6" s="160" t="str">
        <f t="shared" si="1"/>
        <v>T.Hai</v>
      </c>
      <c r="V6" s="160" t="str">
        <f t="shared" si="1"/>
        <v>T.Ba</v>
      </c>
      <c r="W6" s="160" t="str">
        <f t="shared" si="1"/>
        <v>T.Tư</v>
      </c>
      <c r="X6" s="160" t="str">
        <f t="shared" si="1"/>
        <v>T.Năm</v>
      </c>
      <c r="Y6" s="160" t="str">
        <f t="shared" si="1"/>
        <v>T.Sáu</v>
      </c>
      <c r="Z6" s="160" t="str">
        <f t="shared" si="1"/>
        <v>T.Bảy</v>
      </c>
      <c r="AA6" s="160" t="str">
        <f t="shared" si="1"/>
        <v>C.Nhật</v>
      </c>
      <c r="AB6" s="160" t="str">
        <f t="shared" si="1"/>
        <v>T.Hai</v>
      </c>
      <c r="AC6" s="160" t="str">
        <f t="shared" si="1"/>
        <v>T.Ba</v>
      </c>
      <c r="AD6" s="160" t="str">
        <f t="shared" si="1"/>
        <v>T.Tư</v>
      </c>
      <c r="AE6" s="160" t="str">
        <f t="shared" si="1"/>
        <v>T.Năm</v>
      </c>
      <c r="AF6" s="160" t="str">
        <f t="shared" si="1"/>
        <v>T.Sáu</v>
      </c>
      <c r="AG6" s="160" t="str">
        <f t="shared" si="1"/>
        <v>T.Bảy</v>
      </c>
      <c r="AH6" s="160" t="str">
        <f t="shared" si="1"/>
        <v>C.Nhật</v>
      </c>
      <c r="AI6" s="160" t="str">
        <f t="shared" si="1"/>
        <v>T.Hai</v>
      </c>
      <c r="AJ6" s="160" t="str">
        <f t="shared" si="1"/>
        <v>T.Ba</v>
      </c>
      <c r="AK6" s="161" t="s">
        <v>16</v>
      </c>
      <c r="AL6" s="161" t="s">
        <v>29</v>
      </c>
      <c r="AM6" s="162" t="s">
        <v>17</v>
      </c>
      <c r="AN6" s="266"/>
      <c r="AO6" s="266"/>
      <c r="AP6" s="266"/>
      <c r="AQ6" s="266"/>
      <c r="AR6" s="266"/>
      <c r="AS6" s="257"/>
      <c r="AT6" s="25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4" customFormat="1" ht="12.75" customHeight="1">
      <c r="A7" s="163">
        <v>1</v>
      </c>
      <c r="B7" s="163">
        <v>1</v>
      </c>
      <c r="C7" s="163">
        <v>2</v>
      </c>
      <c r="D7" s="163">
        <v>3</v>
      </c>
      <c r="E7" s="163">
        <v>4</v>
      </c>
      <c r="F7" s="163">
        <v>5</v>
      </c>
      <c r="G7" s="163">
        <v>6</v>
      </c>
      <c r="H7" s="163">
        <v>7</v>
      </c>
      <c r="I7" s="163">
        <v>8</v>
      </c>
      <c r="J7" s="163">
        <v>9</v>
      </c>
      <c r="K7" s="163">
        <v>10</v>
      </c>
      <c r="L7" s="163">
        <v>11</v>
      </c>
      <c r="M7" s="163">
        <v>12</v>
      </c>
      <c r="N7" s="163">
        <v>13</v>
      </c>
      <c r="O7" s="163">
        <v>14</v>
      </c>
      <c r="P7" s="163">
        <v>15</v>
      </c>
      <c r="Q7" s="163">
        <v>16</v>
      </c>
      <c r="R7" s="163">
        <v>17</v>
      </c>
      <c r="S7" s="163">
        <v>18</v>
      </c>
      <c r="T7" s="163">
        <v>19</v>
      </c>
      <c r="U7" s="163">
        <v>20</v>
      </c>
      <c r="V7" s="163">
        <v>21</v>
      </c>
      <c r="W7" s="163">
        <v>22</v>
      </c>
      <c r="X7" s="163">
        <v>23</v>
      </c>
      <c r="Y7" s="163">
        <v>24</v>
      </c>
      <c r="Z7" s="163">
        <v>25</v>
      </c>
      <c r="AA7" s="163">
        <v>26</v>
      </c>
      <c r="AB7" s="163">
        <v>27</v>
      </c>
      <c r="AC7" s="163">
        <v>28</v>
      </c>
      <c r="AD7" s="163">
        <v>29</v>
      </c>
      <c r="AE7" s="163">
        <v>30</v>
      </c>
      <c r="AF7" s="163">
        <v>31</v>
      </c>
      <c r="AG7" s="163">
        <v>32</v>
      </c>
      <c r="AH7" s="163">
        <v>33</v>
      </c>
      <c r="AI7" s="163">
        <v>34</v>
      </c>
      <c r="AJ7" s="163">
        <v>35</v>
      </c>
      <c r="AK7" s="163">
        <v>36</v>
      </c>
      <c r="AL7" s="163">
        <v>37</v>
      </c>
      <c r="AM7" s="163">
        <v>38</v>
      </c>
      <c r="AN7" s="163">
        <v>39</v>
      </c>
      <c r="AO7" s="163">
        <v>40</v>
      </c>
      <c r="AP7" s="163">
        <v>41</v>
      </c>
      <c r="AQ7" s="163">
        <v>42</v>
      </c>
      <c r="AR7" s="163">
        <v>43</v>
      </c>
      <c r="AS7" s="163">
        <v>44</v>
      </c>
      <c r="AT7" s="200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6" customFormat="1" ht="21" customHeight="1">
      <c r="A8" s="164" t="s">
        <v>68</v>
      </c>
      <c r="B8" s="167" t="s">
        <v>80</v>
      </c>
      <c r="C8" s="168"/>
      <c r="D8" s="168"/>
      <c r="E8" s="168"/>
      <c r="F8" s="168"/>
      <c r="G8" s="168"/>
      <c r="H8" s="168"/>
      <c r="I8" s="168"/>
      <c r="J8" s="168"/>
      <c r="K8" s="168"/>
      <c r="L8" s="168"/>
      <c r="M8" s="168"/>
      <c r="N8" s="168"/>
      <c r="O8" s="168"/>
      <c r="P8" s="168"/>
      <c r="Q8" s="168"/>
      <c r="R8" s="168"/>
      <c r="S8" s="168"/>
      <c r="T8" s="168"/>
      <c r="U8" s="168"/>
      <c r="V8" s="168"/>
      <c r="W8" s="168"/>
      <c r="X8" s="168"/>
      <c r="Y8" s="168"/>
      <c r="Z8" s="168"/>
      <c r="AA8" s="168"/>
      <c r="AB8" s="168"/>
      <c r="AC8" s="168"/>
      <c r="AD8" s="168"/>
      <c r="AE8" s="168"/>
      <c r="AF8" s="168"/>
      <c r="AG8" s="168"/>
      <c r="AH8" s="168"/>
      <c r="AI8" s="168"/>
      <c r="AJ8" s="168"/>
      <c r="AK8" s="168"/>
      <c r="AL8" s="168"/>
      <c r="AM8" s="168"/>
      <c r="AN8" s="168"/>
      <c r="AO8" s="168"/>
      <c r="AP8" s="168"/>
      <c r="AQ8" s="168"/>
      <c r="AR8" s="168"/>
      <c r="AS8" s="169"/>
      <c r="AT8" s="165"/>
    </row>
    <row r="9" spans="1:91" s="54" customFormat="1" ht="18" customHeight="1">
      <c r="A9" s="249">
        <v>1</v>
      </c>
      <c r="B9" s="249" t="s">
        <v>74</v>
      </c>
      <c r="C9" s="251" t="str">
        <f>VLOOKUP(B9,DS,2,0)</f>
        <v>Nguyễn Thị Kim Quyên</v>
      </c>
      <c r="D9" s="253" t="str">
        <f>VLOOKUP(B9,DS,3,0)</f>
        <v>Văn Phòng</v>
      </c>
      <c r="E9" s="55" t="s">
        <v>30</v>
      </c>
      <c r="F9" s="130"/>
      <c r="G9" s="130">
        <v>8</v>
      </c>
      <c r="H9" s="130">
        <v>8</v>
      </c>
      <c r="I9" s="130">
        <v>8</v>
      </c>
      <c r="J9" s="130">
        <v>8</v>
      </c>
      <c r="K9" s="130">
        <v>8</v>
      </c>
      <c r="L9" s="130">
        <v>8</v>
      </c>
      <c r="M9" s="130"/>
      <c r="N9" s="130">
        <v>8</v>
      </c>
      <c r="O9" s="130">
        <v>8</v>
      </c>
      <c r="P9" s="130">
        <v>8</v>
      </c>
      <c r="Q9" s="130">
        <v>8</v>
      </c>
      <c r="R9" s="130">
        <v>8</v>
      </c>
      <c r="S9" s="130">
        <v>8</v>
      </c>
      <c r="T9" s="130"/>
      <c r="U9" s="130">
        <v>8</v>
      </c>
      <c r="V9" s="130">
        <v>8</v>
      </c>
      <c r="W9" s="130">
        <v>8</v>
      </c>
      <c r="X9" s="130">
        <v>8</v>
      </c>
      <c r="Y9" s="130">
        <v>8</v>
      </c>
      <c r="Z9" s="130">
        <v>8</v>
      </c>
      <c r="AA9" s="130"/>
      <c r="AB9" s="130">
        <v>8</v>
      </c>
      <c r="AC9" s="130">
        <v>8</v>
      </c>
      <c r="AD9" s="130">
        <v>8</v>
      </c>
      <c r="AE9" s="130">
        <v>8</v>
      </c>
      <c r="AF9" s="130">
        <v>8</v>
      </c>
      <c r="AG9" s="130">
        <v>8</v>
      </c>
      <c r="AH9" s="130"/>
      <c r="AI9" s="130">
        <v>8</v>
      </c>
      <c r="AJ9" s="130">
        <v>8</v>
      </c>
      <c r="AK9" s="245">
        <f>((SUM(F9:AJ9))/8)-(SUMIF($F$6:$AJ$6,"C.Nhật",F9:AJ9)/8)</f>
        <v>26</v>
      </c>
      <c r="AL9" s="245">
        <f>SUM(F10:AJ10)/8*1.5</f>
        <v>0</v>
      </c>
      <c r="AM9" s="247">
        <f>SUMIF($F$6:$AJ$6,"C.Nhật",$F9:$AJ10)/8*2</f>
        <v>0</v>
      </c>
      <c r="AN9" s="241">
        <f>SUM(AK9:AM10)</f>
        <v>26</v>
      </c>
      <c r="AO9" s="243">
        <v>0</v>
      </c>
      <c r="AP9" s="241"/>
      <c r="AQ9" s="241"/>
      <c r="AR9" s="241"/>
      <c r="AS9" s="239"/>
      <c r="AT9" s="200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4" customFormat="1" ht="18" customHeight="1">
      <c r="A10" s="250"/>
      <c r="B10" s="250"/>
      <c r="C10" s="252"/>
      <c r="D10" s="254"/>
      <c r="E10" s="56" t="s">
        <v>29</v>
      </c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131"/>
      <c r="AK10" s="246"/>
      <c r="AL10" s="246"/>
      <c r="AM10" s="248"/>
      <c r="AN10" s="242"/>
      <c r="AO10" s="244"/>
      <c r="AP10" s="242"/>
      <c r="AQ10" s="242"/>
      <c r="AR10" s="242"/>
      <c r="AS10" s="240"/>
      <c r="AT10" s="200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66" customFormat="1" ht="21" customHeight="1">
      <c r="A11" s="164" t="s">
        <v>69</v>
      </c>
      <c r="B11" s="167" t="s">
        <v>73</v>
      </c>
      <c r="C11" s="168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  <c r="P11" s="168"/>
      <c r="Q11" s="168"/>
      <c r="R11" s="168"/>
      <c r="S11" s="168"/>
      <c r="T11" s="168"/>
      <c r="U11" s="168"/>
      <c r="V11" s="168"/>
      <c r="W11" s="168"/>
      <c r="X11" s="168"/>
      <c r="Y11" s="168"/>
      <c r="Z11" s="168"/>
      <c r="AA11" s="168"/>
      <c r="AB11" s="168"/>
      <c r="AC11" s="168"/>
      <c r="AD11" s="168"/>
      <c r="AE11" s="168"/>
      <c r="AF11" s="168"/>
      <c r="AG11" s="168"/>
      <c r="AH11" s="168"/>
      <c r="AI11" s="168"/>
      <c r="AJ11" s="168"/>
      <c r="AK11" s="168"/>
      <c r="AL11" s="168"/>
      <c r="AM11" s="168"/>
      <c r="AN11" s="168"/>
      <c r="AO11" s="168"/>
      <c r="AP11" s="168"/>
      <c r="AQ11" s="168"/>
      <c r="AR11" s="168"/>
      <c r="AS11" s="169"/>
      <c r="AT11" s="165"/>
    </row>
    <row r="12" spans="1:91" s="54" customFormat="1" ht="18" customHeight="1">
      <c r="A12" s="249">
        <v>1</v>
      </c>
      <c r="B12" s="249" t="s">
        <v>75</v>
      </c>
      <c r="C12" s="251" t="str">
        <f>VLOOKUP(B12,DS,2,0)</f>
        <v>Lê Văn Hữu</v>
      </c>
      <c r="D12" s="253" t="str">
        <f>VLOOKUP(B12,DS,3,0)</f>
        <v>Công Đoạn 1</v>
      </c>
      <c r="E12" s="55" t="s">
        <v>30</v>
      </c>
      <c r="F12" s="130"/>
      <c r="G12" s="130">
        <v>8</v>
      </c>
      <c r="H12" s="130">
        <v>8</v>
      </c>
      <c r="I12" s="130">
        <v>8</v>
      </c>
      <c r="J12" s="130">
        <v>8</v>
      </c>
      <c r="K12" s="130">
        <v>8</v>
      </c>
      <c r="L12" s="130">
        <v>8</v>
      </c>
      <c r="M12" s="130"/>
      <c r="N12" s="130">
        <v>8</v>
      </c>
      <c r="O12" s="130">
        <v>8</v>
      </c>
      <c r="P12" s="130">
        <v>8</v>
      </c>
      <c r="Q12" s="130">
        <v>8</v>
      </c>
      <c r="R12" s="130">
        <v>8</v>
      </c>
      <c r="S12" s="130">
        <v>8</v>
      </c>
      <c r="T12" s="130"/>
      <c r="U12" s="130">
        <v>8</v>
      </c>
      <c r="V12" s="130">
        <v>8</v>
      </c>
      <c r="W12" s="130">
        <v>8</v>
      </c>
      <c r="X12" s="130">
        <v>8</v>
      </c>
      <c r="Y12" s="130">
        <v>8</v>
      </c>
      <c r="Z12" s="130">
        <v>8</v>
      </c>
      <c r="AA12" s="130"/>
      <c r="AB12" s="130">
        <v>8</v>
      </c>
      <c r="AC12" s="130">
        <v>8</v>
      </c>
      <c r="AD12" s="130">
        <v>8</v>
      </c>
      <c r="AE12" s="130">
        <v>8</v>
      </c>
      <c r="AF12" s="130">
        <v>8</v>
      </c>
      <c r="AG12" s="130">
        <v>8</v>
      </c>
      <c r="AH12" s="130"/>
      <c r="AI12" s="130">
        <v>8</v>
      </c>
      <c r="AJ12" s="130">
        <v>8</v>
      </c>
      <c r="AK12" s="245">
        <f t="shared" ref="AK12" si="2">((SUM(F12:AJ12))/8)-(SUMIF($F$6:$AJ$6,"C.Nhật",F12:AJ12)/8)</f>
        <v>26</v>
      </c>
      <c r="AL12" s="245">
        <f t="shared" ref="AL12" si="3">SUM(F13:AJ13)/8*1.5</f>
        <v>0</v>
      </c>
      <c r="AM12" s="247">
        <f>SUMIF($F$6:$AJ$6,"C.Nhật",$F12:$AJ13)/8*2</f>
        <v>0</v>
      </c>
      <c r="AN12" s="241">
        <f>SUM(AK12:AM13)</f>
        <v>26</v>
      </c>
      <c r="AO12" s="243">
        <v>0</v>
      </c>
      <c r="AP12" s="241"/>
      <c r="AQ12" s="241"/>
      <c r="AR12" s="241"/>
      <c r="AS12" s="239"/>
      <c r="AT12" s="205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54" customFormat="1" ht="18" customHeight="1">
      <c r="A13" s="250"/>
      <c r="B13" s="250"/>
      <c r="C13" s="252"/>
      <c r="D13" s="254"/>
      <c r="E13" s="56" t="s">
        <v>29</v>
      </c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  <c r="AH13" s="131"/>
      <c r="AI13" s="131"/>
      <c r="AJ13" s="131"/>
      <c r="AK13" s="246"/>
      <c r="AL13" s="246"/>
      <c r="AM13" s="248"/>
      <c r="AN13" s="242"/>
      <c r="AO13" s="244"/>
      <c r="AP13" s="242"/>
      <c r="AQ13" s="242"/>
      <c r="AR13" s="242"/>
      <c r="AS13" s="240"/>
      <c r="AT13" s="205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54" customFormat="1" ht="18" customHeight="1">
      <c r="A14" s="249">
        <v>2</v>
      </c>
      <c r="B14" s="249" t="s">
        <v>76</v>
      </c>
      <c r="C14" s="251" t="str">
        <f>VLOOKUP(B14,DS,2,0)</f>
        <v>Lý Thanh Hải</v>
      </c>
      <c r="D14" s="253" t="str">
        <f>VLOOKUP(B14,DS,3,0)</f>
        <v>Công Đoạn 1</v>
      </c>
      <c r="E14" s="55" t="s">
        <v>30</v>
      </c>
      <c r="F14" s="130"/>
      <c r="G14" s="130">
        <v>8</v>
      </c>
      <c r="H14" s="130">
        <v>8</v>
      </c>
      <c r="I14" s="130">
        <v>8</v>
      </c>
      <c r="J14" s="130">
        <v>8</v>
      </c>
      <c r="K14" s="130">
        <v>8</v>
      </c>
      <c r="L14" s="130">
        <v>8</v>
      </c>
      <c r="M14" s="130"/>
      <c r="N14" s="130">
        <v>8</v>
      </c>
      <c r="O14" s="130">
        <v>8</v>
      </c>
      <c r="P14" s="130">
        <v>8</v>
      </c>
      <c r="Q14" s="130">
        <v>8</v>
      </c>
      <c r="R14" s="130">
        <v>8</v>
      </c>
      <c r="S14" s="130">
        <v>8</v>
      </c>
      <c r="T14" s="130"/>
      <c r="U14" s="130">
        <v>8</v>
      </c>
      <c r="V14" s="130">
        <v>8</v>
      </c>
      <c r="W14" s="130">
        <v>8</v>
      </c>
      <c r="X14" s="130">
        <v>8</v>
      </c>
      <c r="Y14" s="130">
        <v>8</v>
      </c>
      <c r="Z14" s="130">
        <v>8</v>
      </c>
      <c r="AA14" s="130"/>
      <c r="AB14" s="130">
        <v>8</v>
      </c>
      <c r="AC14" s="130">
        <v>8</v>
      </c>
      <c r="AD14" s="130">
        <v>8</v>
      </c>
      <c r="AE14" s="130">
        <v>8</v>
      </c>
      <c r="AF14" s="130">
        <v>8</v>
      </c>
      <c r="AG14" s="130">
        <v>8</v>
      </c>
      <c r="AH14" s="130"/>
      <c r="AI14" s="130">
        <v>8</v>
      </c>
      <c r="AJ14" s="130">
        <v>8</v>
      </c>
      <c r="AK14" s="245">
        <f t="shared" ref="AK14" si="4">((SUM(F14:AJ14))/8)-(SUMIF($F$6:$AJ$6,"C.Nhật",F14:AJ14)/8)</f>
        <v>26</v>
      </c>
      <c r="AL14" s="245">
        <f t="shared" ref="AL14" si="5">SUM(F15:AJ15)/8*1.5</f>
        <v>0</v>
      </c>
      <c r="AM14" s="247">
        <f>SUMIF($F$6:$AJ$6,"C.Nhật",$F14:$AJ15)/8*2</f>
        <v>0</v>
      </c>
      <c r="AN14" s="241">
        <f t="shared" ref="AN14" si="6">SUM(AK14:AM15)</f>
        <v>26</v>
      </c>
      <c r="AO14" s="243">
        <v>0</v>
      </c>
      <c r="AP14" s="241"/>
      <c r="AQ14" s="241"/>
      <c r="AR14" s="241"/>
      <c r="AS14" s="239"/>
      <c r="AT14" s="21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4" customFormat="1" ht="18" customHeight="1">
      <c r="A15" s="250"/>
      <c r="B15" s="250"/>
      <c r="C15" s="252"/>
      <c r="D15" s="254"/>
      <c r="E15" s="56" t="s">
        <v>29</v>
      </c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31"/>
      <c r="AK15" s="246"/>
      <c r="AL15" s="246"/>
      <c r="AM15" s="248"/>
      <c r="AN15" s="242"/>
      <c r="AO15" s="244"/>
      <c r="AP15" s="242"/>
      <c r="AQ15" s="242"/>
      <c r="AR15" s="242"/>
      <c r="AS15" s="240"/>
      <c r="AT15" s="21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4" customFormat="1" ht="18" customHeight="1">
      <c r="A16" s="249">
        <v>3</v>
      </c>
      <c r="B16" s="249" t="s">
        <v>77</v>
      </c>
      <c r="C16" s="251" t="str">
        <f>VLOOKUP(B16,DS,2,0)</f>
        <v>Cao Minh Chí</v>
      </c>
      <c r="D16" s="253" t="str">
        <f>VLOOKUP(B16,DS,3,0)</f>
        <v>Công Đoạn 2</v>
      </c>
      <c r="E16" s="55" t="s">
        <v>30</v>
      </c>
      <c r="F16" s="130"/>
      <c r="G16" s="130">
        <v>8</v>
      </c>
      <c r="H16" s="130">
        <v>8</v>
      </c>
      <c r="I16" s="130">
        <v>8</v>
      </c>
      <c r="J16" s="130">
        <v>8</v>
      </c>
      <c r="K16" s="130">
        <v>8</v>
      </c>
      <c r="L16" s="130">
        <v>8</v>
      </c>
      <c r="M16" s="130"/>
      <c r="N16" s="130">
        <v>8</v>
      </c>
      <c r="O16" s="130">
        <v>8</v>
      </c>
      <c r="P16" s="130">
        <v>8</v>
      </c>
      <c r="Q16" s="130">
        <v>8</v>
      </c>
      <c r="R16" s="130">
        <v>8</v>
      </c>
      <c r="S16" s="130">
        <v>8</v>
      </c>
      <c r="T16" s="130"/>
      <c r="U16" s="130">
        <v>8</v>
      </c>
      <c r="V16" s="130">
        <v>8</v>
      </c>
      <c r="W16" s="130">
        <v>8</v>
      </c>
      <c r="X16" s="130">
        <v>8</v>
      </c>
      <c r="Y16" s="130">
        <v>8</v>
      </c>
      <c r="Z16" s="130">
        <v>8</v>
      </c>
      <c r="AA16" s="130"/>
      <c r="AB16" s="130">
        <v>8</v>
      </c>
      <c r="AC16" s="130">
        <v>8</v>
      </c>
      <c r="AD16" s="130">
        <v>8</v>
      </c>
      <c r="AE16" s="130">
        <v>8</v>
      </c>
      <c r="AF16" s="130">
        <v>8</v>
      </c>
      <c r="AG16" s="130">
        <v>8</v>
      </c>
      <c r="AH16" s="130"/>
      <c r="AI16" s="130">
        <v>8</v>
      </c>
      <c r="AJ16" s="130">
        <v>8</v>
      </c>
      <c r="AK16" s="245">
        <f t="shared" ref="AK16" si="7">((SUM(F16:AJ16))/8)-(SUMIF($F$6:$AJ$6,"C.Nhật",F16:AJ16)/8)</f>
        <v>26</v>
      </c>
      <c r="AL16" s="245">
        <f t="shared" ref="AL16" si="8">SUM(F17:AJ17)/8*1.5</f>
        <v>0</v>
      </c>
      <c r="AM16" s="247">
        <f>SUMIF($F$6:$AJ$6,"C.Nhật",$F16:$AJ17)/8*2</f>
        <v>0</v>
      </c>
      <c r="AN16" s="241">
        <f t="shared" ref="AN16" si="9">SUM(AK16:AM17)</f>
        <v>26</v>
      </c>
      <c r="AO16" s="243">
        <v>0</v>
      </c>
      <c r="AP16" s="241"/>
      <c r="AQ16" s="241"/>
      <c r="AR16" s="241"/>
      <c r="AS16" s="239"/>
      <c r="AT16" s="21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54" customFormat="1" ht="18" customHeight="1">
      <c r="A17" s="250"/>
      <c r="B17" s="250"/>
      <c r="C17" s="252"/>
      <c r="D17" s="254"/>
      <c r="E17" s="56" t="s">
        <v>29</v>
      </c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31"/>
      <c r="AK17" s="246"/>
      <c r="AL17" s="246"/>
      <c r="AM17" s="248"/>
      <c r="AN17" s="242"/>
      <c r="AO17" s="244"/>
      <c r="AP17" s="242"/>
      <c r="AQ17" s="242"/>
      <c r="AR17" s="242"/>
      <c r="AS17" s="240"/>
      <c r="AT17" s="21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57" customFormat="1" ht="12.75">
      <c r="A18" s="14"/>
      <c r="B18" s="58"/>
      <c r="C18" s="4"/>
      <c r="D18" s="100"/>
      <c r="E18" s="4"/>
      <c r="F18" s="62"/>
      <c r="G18" s="62"/>
      <c r="H18" s="59"/>
      <c r="I18" s="59"/>
      <c r="J18" s="107"/>
      <c r="K18" s="62"/>
      <c r="L18" s="59"/>
      <c r="M18" s="62"/>
      <c r="N18" s="62"/>
      <c r="O18" s="62"/>
      <c r="P18" s="62"/>
      <c r="Q18" s="59"/>
      <c r="R18" s="62"/>
      <c r="S18" s="62"/>
      <c r="T18" s="107"/>
      <c r="U18" s="62"/>
      <c r="V18" s="62"/>
      <c r="W18" s="62"/>
      <c r="X18" s="58"/>
      <c r="Y18" s="62"/>
      <c r="Z18" s="62"/>
      <c r="AA18" s="62"/>
      <c r="AB18" s="62"/>
      <c r="AC18" s="62"/>
      <c r="AD18" s="59"/>
      <c r="AE18" s="62"/>
      <c r="AF18" s="62"/>
      <c r="AG18" s="62"/>
      <c r="AH18" s="62"/>
      <c r="AI18" s="62"/>
      <c r="AJ18" s="62"/>
      <c r="AK18" s="4"/>
      <c r="AL18" s="4"/>
      <c r="AM18" s="85"/>
      <c r="AN18" s="61"/>
      <c r="AO18" s="61"/>
      <c r="AP18" s="61"/>
      <c r="AQ18" s="61"/>
      <c r="AR18" s="61"/>
      <c r="AS18" s="4"/>
      <c r="AT18" s="91"/>
    </row>
    <row r="19" spans="1:91" s="57" customFormat="1" ht="12.75">
      <c r="A19" s="14"/>
      <c r="B19" s="58"/>
      <c r="C19" s="14" t="s">
        <v>14</v>
      </c>
      <c r="D19" s="100"/>
      <c r="E19" s="4"/>
      <c r="F19" s="62"/>
      <c r="G19" s="62"/>
      <c r="H19" s="59"/>
      <c r="I19" s="59"/>
      <c r="J19" s="107"/>
      <c r="K19" s="62"/>
      <c r="L19" s="59"/>
      <c r="M19" s="62"/>
      <c r="N19" s="62"/>
      <c r="O19" s="62"/>
      <c r="P19" s="62"/>
      <c r="Q19" s="59"/>
      <c r="R19" s="62"/>
      <c r="S19" s="62"/>
      <c r="T19" s="107"/>
      <c r="U19" s="62"/>
      <c r="V19" s="62"/>
      <c r="W19" s="62"/>
      <c r="X19" s="58"/>
      <c r="Y19" s="62"/>
      <c r="Z19" s="62"/>
      <c r="AA19" s="62"/>
      <c r="AB19" s="62"/>
      <c r="AC19" s="62"/>
      <c r="AD19" s="59"/>
      <c r="AE19" s="62"/>
      <c r="AF19" s="62"/>
      <c r="AG19" s="62"/>
      <c r="AH19" s="62"/>
      <c r="AI19" s="62"/>
      <c r="AJ19" s="62"/>
      <c r="AK19" s="4"/>
      <c r="AL19" s="4"/>
      <c r="AM19" s="85"/>
      <c r="AN19" s="61"/>
      <c r="AO19" s="61"/>
      <c r="AP19" s="61"/>
      <c r="AQ19" s="61"/>
      <c r="AR19" s="61"/>
      <c r="AS19" s="4"/>
      <c r="AT19" s="91"/>
    </row>
    <row r="20" spans="1:91" s="57" customFormat="1" ht="12.75">
      <c r="A20" s="12"/>
      <c r="B20" s="12"/>
      <c r="C20" s="4"/>
      <c r="D20" s="100"/>
      <c r="E20" s="4"/>
      <c r="F20" s="62"/>
      <c r="G20" s="62"/>
      <c r="H20" s="108"/>
      <c r="I20" s="108"/>
      <c r="J20" s="108"/>
      <c r="K20" s="62"/>
      <c r="L20" s="108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108"/>
      <c r="AE20" s="62"/>
      <c r="AF20" s="62"/>
      <c r="AG20" s="62"/>
      <c r="AH20" s="62"/>
      <c r="AI20" s="62"/>
      <c r="AJ20" s="62"/>
      <c r="AK20" s="4"/>
      <c r="AL20" s="4"/>
      <c r="AM20" s="85"/>
      <c r="AN20" s="63"/>
      <c r="AO20" s="63"/>
      <c r="AP20" s="63"/>
      <c r="AQ20" s="63"/>
      <c r="AR20" s="63"/>
      <c r="AS20" s="4"/>
      <c r="AT20" s="91"/>
    </row>
    <row r="21" spans="1:91" s="60" customFormat="1" ht="15" customHeight="1">
      <c r="A21" s="12"/>
      <c r="B21" s="12"/>
      <c r="C21" s="4"/>
      <c r="D21" s="100"/>
      <c r="E21" s="4"/>
      <c r="F21" s="62"/>
      <c r="G21" s="62"/>
      <c r="H21" s="108"/>
      <c r="I21" s="108"/>
      <c r="J21" s="108"/>
      <c r="K21" s="62"/>
      <c r="L21" s="108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108"/>
      <c r="AE21" s="62"/>
      <c r="AF21" s="62"/>
      <c r="AG21" s="62"/>
      <c r="AH21" s="62"/>
      <c r="AI21" s="62"/>
      <c r="AJ21" s="62"/>
      <c r="AK21" s="4"/>
      <c r="AL21" s="4"/>
      <c r="AM21" s="85"/>
      <c r="AN21" s="63"/>
      <c r="AO21" s="63"/>
      <c r="AP21" s="63"/>
      <c r="AQ21" s="63"/>
      <c r="AR21" s="63"/>
      <c r="AS21" s="4"/>
      <c r="AT21" s="4"/>
    </row>
    <row r="22" spans="1:91" s="60" customFormat="1" ht="11.25">
      <c r="A22" s="12"/>
      <c r="B22" s="12"/>
      <c r="C22" s="4"/>
      <c r="D22" s="100"/>
      <c r="E22" s="4"/>
      <c r="F22" s="62"/>
      <c r="G22" s="62"/>
      <c r="H22" s="108"/>
      <c r="I22" s="108"/>
      <c r="J22" s="108"/>
      <c r="K22" s="62"/>
      <c r="L22" s="108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108"/>
      <c r="AE22" s="62"/>
      <c r="AF22" s="62"/>
      <c r="AG22" s="62"/>
      <c r="AH22" s="62"/>
      <c r="AI22" s="62"/>
      <c r="AJ22" s="62"/>
      <c r="AK22" s="4"/>
      <c r="AL22" s="4"/>
      <c r="AM22" s="85"/>
      <c r="AN22" s="63"/>
      <c r="AO22" s="63"/>
      <c r="AP22" s="63"/>
      <c r="AQ22" s="63"/>
      <c r="AR22" s="63"/>
      <c r="AS22" s="4"/>
      <c r="AT22" s="4"/>
    </row>
    <row r="23" spans="1:91" s="60" customFormat="1" ht="11.25">
      <c r="A23" s="12"/>
      <c r="B23" s="12"/>
      <c r="C23" s="4"/>
      <c r="D23" s="100"/>
      <c r="E23" s="4"/>
      <c r="F23" s="62"/>
      <c r="G23" s="62"/>
      <c r="H23" s="108"/>
      <c r="I23" s="108"/>
      <c r="J23" s="108"/>
      <c r="K23" s="62"/>
      <c r="L23" s="108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108"/>
      <c r="AE23" s="62"/>
      <c r="AF23" s="62"/>
      <c r="AG23" s="62"/>
      <c r="AH23" s="62"/>
      <c r="AI23" s="62"/>
      <c r="AJ23" s="62"/>
      <c r="AK23" s="4"/>
      <c r="AL23" s="4"/>
      <c r="AM23" s="85"/>
      <c r="AN23" s="63"/>
      <c r="AO23" s="63"/>
      <c r="AP23" s="63"/>
      <c r="AQ23" s="63"/>
      <c r="AR23" s="63"/>
      <c r="AS23" s="4"/>
      <c r="AT23" s="4"/>
    </row>
    <row r="24" spans="1:91" s="60" customFormat="1" ht="11.25">
      <c r="A24" s="10"/>
      <c r="B24" s="10"/>
      <c r="C24" s="14"/>
      <c r="D24" s="101"/>
      <c r="E24" s="64"/>
      <c r="F24" s="107"/>
      <c r="G24" s="109"/>
      <c r="H24" s="59"/>
      <c r="I24" s="59"/>
      <c r="J24" s="59"/>
      <c r="K24" s="109"/>
      <c r="L24" s="59"/>
      <c r="M24" s="109"/>
      <c r="N24" s="109"/>
      <c r="O24" s="109"/>
      <c r="P24" s="109"/>
      <c r="Q24" s="59"/>
      <c r="R24" s="107"/>
      <c r="S24" s="109"/>
      <c r="T24" s="109"/>
      <c r="U24" s="59"/>
      <c r="V24" s="109"/>
      <c r="W24" s="109"/>
      <c r="X24" s="59"/>
      <c r="Y24" s="109"/>
      <c r="Z24" s="109"/>
      <c r="AA24" s="109"/>
      <c r="AB24" s="109"/>
      <c r="AC24" s="109"/>
      <c r="AD24" s="59"/>
      <c r="AE24" s="109"/>
      <c r="AF24" s="109"/>
      <c r="AG24" s="109"/>
      <c r="AH24" s="109"/>
      <c r="AI24" s="109"/>
      <c r="AJ24" s="109"/>
      <c r="AK24" s="64"/>
      <c r="AM24" s="86"/>
      <c r="AN24" s="10"/>
      <c r="AO24" s="10"/>
      <c r="AP24" s="10"/>
      <c r="AQ24" s="10"/>
      <c r="AR24" s="10"/>
      <c r="AS24" s="14"/>
      <c r="AT24" s="4"/>
    </row>
    <row r="25" spans="1:91" s="60" customFormat="1" ht="12.75">
      <c r="A25" s="2"/>
      <c r="B25" s="2" t="s">
        <v>0</v>
      </c>
      <c r="C25" s="2"/>
      <c r="D25" s="198"/>
      <c r="E25" s="2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1"/>
      <c r="AI25" s="111"/>
      <c r="AJ25" s="111"/>
      <c r="AK25" s="2"/>
      <c r="AL25" s="2"/>
      <c r="AM25" s="87"/>
      <c r="AN25" s="2"/>
      <c r="AO25" s="2"/>
      <c r="AP25" s="2"/>
      <c r="AQ25" s="2"/>
      <c r="AR25" s="2"/>
      <c r="AS25" s="2"/>
      <c r="AT25" s="4"/>
    </row>
    <row r="26" spans="1:91" s="60" customFormat="1" ht="12.75">
      <c r="A26" s="2"/>
      <c r="B26" s="2"/>
      <c r="C26" s="2" t="s">
        <v>40</v>
      </c>
      <c r="D26" s="198"/>
      <c r="E26" s="2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1"/>
      <c r="AI26" s="111"/>
      <c r="AJ26" s="111"/>
      <c r="AK26" s="2"/>
      <c r="AL26" s="2"/>
      <c r="AM26" s="87"/>
      <c r="AN26" s="2"/>
      <c r="AO26" s="2"/>
      <c r="AP26" s="2"/>
      <c r="AQ26" s="2"/>
      <c r="AR26" s="2"/>
      <c r="AS26" s="2"/>
      <c r="AT26" s="14"/>
    </row>
    <row r="27" spans="1:91" ht="15" customHeight="1">
      <c r="C27" s="2" t="s">
        <v>41</v>
      </c>
    </row>
    <row r="28" spans="1:91" ht="15" customHeight="1">
      <c r="C28" s="2" t="s">
        <v>42</v>
      </c>
    </row>
    <row r="29" spans="1:91" s="198" customFormat="1" ht="15" customHeight="1">
      <c r="A29" s="2"/>
      <c r="B29" s="2"/>
      <c r="C29" s="2" t="s">
        <v>43</v>
      </c>
      <c r="E29" s="2"/>
      <c r="F29" s="110"/>
      <c r="G29" s="110"/>
      <c r="H29" s="110"/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0"/>
      <c r="AD29" s="110"/>
      <c r="AE29" s="110"/>
      <c r="AF29" s="110"/>
      <c r="AG29" s="110"/>
      <c r="AH29" s="111"/>
      <c r="AI29" s="111"/>
      <c r="AJ29" s="111"/>
      <c r="AK29" s="2"/>
      <c r="AL29" s="2"/>
      <c r="AM29" s="87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98" customFormat="1" ht="15" customHeight="1">
      <c r="A30" s="2"/>
      <c r="B30" s="2"/>
      <c r="C30" s="2" t="s">
        <v>44</v>
      </c>
      <c r="E30" s="2"/>
      <c r="F30" s="110"/>
      <c r="G30" s="110"/>
      <c r="H30" s="110"/>
      <c r="I30" s="110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  <c r="AA30" s="110"/>
      <c r="AB30" s="110"/>
      <c r="AC30" s="110"/>
      <c r="AD30" s="110"/>
      <c r="AE30" s="110"/>
      <c r="AF30" s="110"/>
      <c r="AG30" s="110"/>
      <c r="AH30" s="111"/>
      <c r="AI30" s="111"/>
      <c r="AJ30" s="111"/>
      <c r="AK30" s="2"/>
      <c r="AL30" s="2"/>
      <c r="AM30" s="87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98" customFormat="1" ht="15" customHeight="1">
      <c r="A31" s="2"/>
      <c r="B31" s="2"/>
      <c r="C31" s="2" t="s">
        <v>45</v>
      </c>
      <c r="E31" s="2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  <c r="AE31" s="110"/>
      <c r="AF31" s="110"/>
      <c r="AG31" s="110"/>
      <c r="AH31" s="111"/>
      <c r="AI31" s="111"/>
      <c r="AJ31" s="111"/>
      <c r="AK31" s="2"/>
      <c r="AL31" s="2"/>
      <c r="AM31" s="87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98" customFormat="1" ht="15" customHeight="1">
      <c r="A32" s="2"/>
      <c r="B32" s="2"/>
      <c r="C32" s="2" t="s">
        <v>46</v>
      </c>
      <c r="E32" s="2"/>
      <c r="F32" s="110"/>
      <c r="G32" s="110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0"/>
      <c r="AG32" s="110"/>
      <c r="AH32" s="111"/>
      <c r="AI32" s="111"/>
      <c r="AJ32" s="111"/>
      <c r="AK32" s="2"/>
      <c r="AL32" s="2"/>
      <c r="AM32" s="87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98" customFormat="1" ht="15" customHeight="1">
      <c r="A33" s="2"/>
      <c r="B33" s="2"/>
      <c r="C33" s="2" t="s">
        <v>47</v>
      </c>
      <c r="E33" s="2"/>
      <c r="F33" s="110"/>
      <c r="G33" s="110"/>
      <c r="H33" s="110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  <c r="AA33" s="110"/>
      <c r="AB33" s="110"/>
      <c r="AC33" s="110"/>
      <c r="AD33" s="110"/>
      <c r="AE33" s="110"/>
      <c r="AF33" s="110"/>
      <c r="AG33" s="110"/>
      <c r="AH33" s="111"/>
      <c r="AI33" s="111"/>
      <c r="AJ33" s="111"/>
      <c r="AK33" s="2"/>
      <c r="AL33" s="2"/>
      <c r="AM33" s="87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98" customFormat="1" ht="15" customHeight="1">
      <c r="A34" s="2"/>
      <c r="B34" s="2"/>
      <c r="C34" s="2" t="s">
        <v>48</v>
      </c>
      <c r="E34" s="2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1"/>
      <c r="AI34" s="111"/>
      <c r="AJ34" s="111"/>
      <c r="AK34" s="2"/>
      <c r="AL34" s="2"/>
      <c r="AM34" s="87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20:J23 Q18:Q19" name="Range1_1_1_1"/>
    <protectedRange password="CC78" sqref="J24" name="Range1_3_1_1"/>
    <protectedRange password="CC78" sqref="A12:A17" name="Range1_1_2"/>
    <protectedRange password="CC78" sqref="A12:A17 C12:E17" name="Range1_6_2"/>
    <protectedRange password="CC78" sqref="B12:B17" name="Range1_4_2"/>
  </protectedRanges>
  <mergeCells count="66">
    <mergeCell ref="AR14:AR15"/>
    <mergeCell ref="AS14:AS15"/>
    <mergeCell ref="A16:A17"/>
    <mergeCell ref="AL14:AL15"/>
    <mergeCell ref="AM14:AM15"/>
    <mergeCell ref="AN14:AN15"/>
    <mergeCell ref="AO14:AO15"/>
    <mergeCell ref="AP14:AP15"/>
    <mergeCell ref="A14:A15"/>
    <mergeCell ref="B14:B15"/>
    <mergeCell ref="C14:C15"/>
    <mergeCell ref="D14:D15"/>
    <mergeCell ref="AK14:AK15"/>
    <mergeCell ref="AQ16:AQ17"/>
    <mergeCell ref="B16:B17"/>
    <mergeCell ref="C16:C17"/>
    <mergeCell ref="D16:D17"/>
    <mergeCell ref="AK16:AK17"/>
    <mergeCell ref="AL16:AL17"/>
    <mergeCell ref="AR16:AR17"/>
    <mergeCell ref="AS16:AS17"/>
    <mergeCell ref="AM16:AM17"/>
    <mergeCell ref="AN16:AN17"/>
    <mergeCell ref="AO16:AO17"/>
    <mergeCell ref="AP16:AP17"/>
    <mergeCell ref="AK12:AK13"/>
    <mergeCell ref="AP12:AP13"/>
    <mergeCell ref="AS12:AS13"/>
    <mergeCell ref="AL12:AL13"/>
    <mergeCell ref="AM12:AM13"/>
    <mergeCell ref="AN12:AN13"/>
    <mergeCell ref="AQ12:AQ13"/>
    <mergeCell ref="AR12:AR13"/>
    <mergeCell ref="AO12:AO13"/>
    <mergeCell ref="AQ14:AQ15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12:A13"/>
    <mergeCell ref="B12:B13"/>
    <mergeCell ref="C12:C13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D12:D13"/>
  </mergeCells>
  <conditionalFormatting sqref="F5:AJ6 F9:AJ10 F12:AJ17">
    <cfRule type="expression" dxfId="11" priority="39" stopIfTrue="1">
      <formula>IF(WEEKDAY(F$5)=1,TRUE,FALSE)</formula>
    </cfRule>
  </conditionalFormatting>
  <conditionalFormatting sqref="F9:AJ10">
    <cfRule type="expression" dxfId="10" priority="38" stopIfTrue="1">
      <formula>IF(WEEKDAY(F$5)=1,TRUE,FALSE)</formula>
    </cfRule>
  </conditionalFormatting>
  <conditionalFormatting sqref="F12:AJ17">
    <cfRule type="expression" dxfId="9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29"/>
  <sheetViews>
    <sheetView zoomScaleNormal="70" workbookViewId="0">
      <pane xSplit="3" ySplit="8" topLeftCell="G13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B15" sqref="B15:B16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78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26"/>
      <c r="B1" s="201"/>
      <c r="C1" s="201"/>
      <c r="D1" s="273" t="str">
        <f>"BẢNG THANH TOÁN LƯƠNG THÁNG"&amp;" "&amp;TEXT($E$4,"mm")&amp;" / "&amp;TEXT($E$4,"yyyy")</f>
        <v>BẢNG THANH TOÁN LƯƠNG THÁNG 10 / 2017</v>
      </c>
      <c r="E1" s="273"/>
      <c r="F1" s="273"/>
      <c r="G1" s="273"/>
      <c r="H1" s="273"/>
      <c r="I1" s="273"/>
      <c r="J1" s="273"/>
      <c r="K1" s="273"/>
      <c r="L1" s="273"/>
      <c r="M1" s="273"/>
      <c r="N1" s="273"/>
      <c r="O1" s="273"/>
      <c r="P1" s="273"/>
      <c r="Q1" s="274"/>
      <c r="R1" s="275" t="s">
        <v>79</v>
      </c>
      <c r="S1" s="276"/>
      <c r="T1" s="277"/>
      <c r="U1" s="117" t="s">
        <v>51</v>
      </c>
      <c r="V1" s="97" t="s">
        <v>33</v>
      </c>
      <c r="W1" s="70"/>
      <c r="X1" s="70"/>
      <c r="Y1" s="5"/>
      <c r="Z1" s="5"/>
    </row>
    <row r="2" spans="1:31" s="4" customFormat="1" ht="15" customHeight="1">
      <c r="A2" s="126"/>
      <c r="B2" s="201"/>
      <c r="C2" s="201"/>
      <c r="D2" s="201"/>
      <c r="E2" s="68"/>
      <c r="F2" s="201"/>
      <c r="G2" s="201"/>
      <c r="H2" s="201"/>
      <c r="I2" s="201"/>
      <c r="J2" s="69"/>
      <c r="K2" s="201"/>
      <c r="L2" s="201"/>
      <c r="M2" s="201"/>
      <c r="N2" s="201"/>
      <c r="O2" s="201"/>
      <c r="P2" s="201"/>
      <c r="Q2" s="201"/>
      <c r="R2" s="201"/>
      <c r="S2" s="201"/>
      <c r="T2" s="46"/>
      <c r="U2" s="67">
        <f>MAX(F10:F18)</f>
        <v>26</v>
      </c>
      <c r="V2" s="98">
        <v>31</v>
      </c>
      <c r="W2" s="70"/>
      <c r="X2" s="70"/>
      <c r="Y2" s="5"/>
      <c r="Z2" s="5"/>
    </row>
    <row r="3" spans="1:31" s="4" customFormat="1" ht="15" customHeight="1">
      <c r="A3" s="126"/>
      <c r="B3" s="201"/>
      <c r="C3" s="201"/>
      <c r="D3" s="201"/>
      <c r="E3" s="68"/>
      <c r="F3" s="201"/>
      <c r="G3" s="201"/>
      <c r="H3" s="201"/>
      <c r="I3" s="201"/>
      <c r="J3" s="69"/>
      <c r="K3" s="201"/>
      <c r="L3" s="201"/>
      <c r="M3" s="201"/>
      <c r="N3" s="201"/>
      <c r="O3" s="201"/>
      <c r="P3" s="201"/>
      <c r="Q3" s="201"/>
      <c r="R3" s="201"/>
      <c r="S3" s="201"/>
      <c r="T3" s="46"/>
      <c r="U3" s="118"/>
      <c r="V3" s="119"/>
      <c r="W3" s="70"/>
      <c r="X3" s="70"/>
      <c r="Y3" s="5"/>
      <c r="Z3" s="5"/>
    </row>
    <row r="4" spans="1:31" s="92" customFormat="1" ht="14.25" customHeight="1">
      <c r="A4" s="90"/>
      <c r="B4" s="91"/>
      <c r="C4" s="91"/>
      <c r="D4" s="91"/>
      <c r="E4" s="175">
        <f>'CC -10'!$E$4</f>
        <v>43009</v>
      </c>
      <c r="F4" s="91"/>
      <c r="G4" s="91"/>
      <c r="H4" s="91"/>
      <c r="I4" s="91"/>
      <c r="J4" s="91"/>
      <c r="K4" s="91"/>
      <c r="L4" s="91"/>
      <c r="M4" s="91"/>
      <c r="N4" s="148">
        <v>0.08</v>
      </c>
      <c r="O4" s="148">
        <v>1.4999999999999999E-2</v>
      </c>
      <c r="P4" s="148">
        <v>0.01</v>
      </c>
      <c r="Q4" s="91"/>
      <c r="R4" s="91"/>
      <c r="S4" s="91"/>
      <c r="T4" s="91"/>
      <c r="U4" s="91"/>
      <c r="V4" s="93"/>
      <c r="W4" s="93"/>
      <c r="X4" s="93"/>
      <c r="Y4" s="93"/>
      <c r="Z4" s="93"/>
    </row>
    <row r="5" spans="1:31" s="21" customFormat="1" ht="24" customHeight="1">
      <c r="A5" s="278" t="s">
        <v>19</v>
      </c>
      <c r="B5" s="278" t="s">
        <v>20</v>
      </c>
      <c r="C5" s="232" t="s">
        <v>1</v>
      </c>
      <c r="D5" s="232" t="s">
        <v>2</v>
      </c>
      <c r="E5" s="235" t="s">
        <v>49</v>
      </c>
      <c r="F5" s="280" t="s">
        <v>24</v>
      </c>
      <c r="G5" s="281"/>
      <c r="H5" s="281"/>
      <c r="I5" s="281"/>
      <c r="J5" s="281"/>
      <c r="K5" s="282"/>
      <c r="L5" s="269" t="s">
        <v>50</v>
      </c>
      <c r="M5" s="269" t="s">
        <v>5</v>
      </c>
      <c r="N5" s="232" t="s">
        <v>6</v>
      </c>
      <c r="O5" s="232"/>
      <c r="P5" s="232"/>
      <c r="Q5" s="269" t="s">
        <v>7</v>
      </c>
      <c r="R5" s="269" t="s">
        <v>8</v>
      </c>
      <c r="S5" s="269" t="s">
        <v>9</v>
      </c>
      <c r="T5" s="233" t="s">
        <v>10</v>
      </c>
      <c r="U5" s="91"/>
      <c r="V5" s="22"/>
      <c r="W5" s="22"/>
      <c r="X5" s="5"/>
      <c r="Y5" s="5"/>
      <c r="Z5" s="5"/>
      <c r="AA5" s="4"/>
      <c r="AB5" s="4"/>
      <c r="AC5" s="4"/>
      <c r="AD5" s="4"/>
      <c r="AE5" s="4"/>
    </row>
    <row r="6" spans="1:31" s="21" customFormat="1" ht="33.75" customHeight="1">
      <c r="A6" s="279"/>
      <c r="B6" s="279"/>
      <c r="C6" s="232"/>
      <c r="D6" s="232"/>
      <c r="E6" s="235"/>
      <c r="F6" s="280" t="s">
        <v>52</v>
      </c>
      <c r="G6" s="282"/>
      <c r="H6" s="280" t="s">
        <v>71</v>
      </c>
      <c r="I6" s="281"/>
      <c r="J6" s="267" t="s">
        <v>25</v>
      </c>
      <c r="K6" s="269" t="s">
        <v>4</v>
      </c>
      <c r="L6" s="270"/>
      <c r="M6" s="270"/>
      <c r="N6" s="271" t="s">
        <v>12</v>
      </c>
      <c r="O6" s="269" t="s">
        <v>13</v>
      </c>
      <c r="P6" s="269" t="s">
        <v>31</v>
      </c>
      <c r="Q6" s="270"/>
      <c r="R6" s="270"/>
      <c r="S6" s="270"/>
      <c r="T6" s="234"/>
      <c r="U6" s="91"/>
      <c r="V6" s="22"/>
      <c r="W6" s="22"/>
      <c r="X6" s="5"/>
      <c r="Y6" s="5"/>
      <c r="Z6" s="5"/>
      <c r="AA6" s="4"/>
      <c r="AB6" s="4"/>
      <c r="AC6" s="4"/>
      <c r="AD6" s="4"/>
      <c r="AE6" s="4"/>
    </row>
    <row r="7" spans="1:31" s="21" customFormat="1" ht="35.25" customHeight="1">
      <c r="A7" s="279"/>
      <c r="B7" s="279"/>
      <c r="C7" s="269"/>
      <c r="D7" s="269"/>
      <c r="E7" s="235"/>
      <c r="F7" s="202" t="s">
        <v>34</v>
      </c>
      <c r="G7" s="199" t="s">
        <v>18</v>
      </c>
      <c r="H7" s="202" t="s">
        <v>34</v>
      </c>
      <c r="I7" s="115" t="s">
        <v>18</v>
      </c>
      <c r="J7" s="268"/>
      <c r="K7" s="270"/>
      <c r="L7" s="283"/>
      <c r="M7" s="283"/>
      <c r="N7" s="272"/>
      <c r="O7" s="270"/>
      <c r="P7" s="270"/>
      <c r="Q7" s="270"/>
      <c r="R7" s="270"/>
      <c r="S7" s="270"/>
      <c r="T7" s="234"/>
      <c r="U7" s="91"/>
      <c r="V7" s="22"/>
      <c r="W7" s="22"/>
      <c r="X7" s="5"/>
      <c r="Y7" s="5"/>
      <c r="Z7" s="5"/>
      <c r="AA7" s="4"/>
      <c r="AB7" s="4"/>
      <c r="AC7" s="4"/>
      <c r="AD7" s="4"/>
      <c r="AE7" s="4"/>
    </row>
    <row r="8" spans="1:31" s="72" customFormat="1" ht="12.75" customHeight="1">
      <c r="A8" s="71">
        <v>1</v>
      </c>
      <c r="B8" s="71">
        <v>1</v>
      </c>
      <c r="C8" s="71">
        <v>2</v>
      </c>
      <c r="D8" s="71">
        <v>3</v>
      </c>
      <c r="E8" s="71">
        <v>4</v>
      </c>
      <c r="F8" s="71">
        <v>5</v>
      </c>
      <c r="G8" s="71">
        <v>6</v>
      </c>
      <c r="H8" s="71">
        <v>7</v>
      </c>
      <c r="I8" s="71">
        <v>8</v>
      </c>
      <c r="J8" s="71">
        <v>9</v>
      </c>
      <c r="K8" s="71">
        <v>10</v>
      </c>
      <c r="L8" s="71">
        <v>11</v>
      </c>
      <c r="M8" s="71">
        <v>12</v>
      </c>
      <c r="N8" s="71">
        <v>13</v>
      </c>
      <c r="O8" s="71">
        <v>14</v>
      </c>
      <c r="P8" s="71">
        <v>15</v>
      </c>
      <c r="Q8" s="71">
        <v>16</v>
      </c>
      <c r="R8" s="71">
        <v>17</v>
      </c>
      <c r="S8" s="71">
        <v>18</v>
      </c>
      <c r="T8" s="71">
        <v>19</v>
      </c>
      <c r="U8" s="91"/>
      <c r="V8" s="73"/>
      <c r="W8" s="73"/>
      <c r="X8" s="74"/>
      <c r="Y8" s="74"/>
      <c r="Z8" s="74"/>
      <c r="AA8" s="75"/>
      <c r="AB8" s="75"/>
      <c r="AC8" s="75"/>
      <c r="AD8" s="75"/>
      <c r="AE8" s="75"/>
    </row>
    <row r="9" spans="1:31" s="72" customFormat="1" ht="24" customHeight="1">
      <c r="A9" s="174" t="s">
        <v>68</v>
      </c>
      <c r="B9" s="173" t="s">
        <v>80</v>
      </c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2"/>
      <c r="Q9" s="172"/>
      <c r="R9" s="172"/>
      <c r="S9" s="172"/>
      <c r="T9" s="172"/>
      <c r="U9" s="91"/>
      <c r="V9" s="73"/>
      <c r="W9" s="73"/>
      <c r="X9" s="74"/>
      <c r="Y9" s="74"/>
      <c r="Z9" s="74"/>
      <c r="AA9" s="75"/>
      <c r="AB9" s="75"/>
      <c r="AC9" s="75"/>
      <c r="AD9" s="75"/>
      <c r="AE9" s="75"/>
    </row>
    <row r="10" spans="1:31" s="29" customFormat="1" ht="24" customHeight="1">
      <c r="A10" s="31">
        <v>1</v>
      </c>
      <c r="B10" s="128" t="s">
        <v>74</v>
      </c>
      <c r="C10" s="76" t="str">
        <f t="shared" ref="C10" si="0">VLOOKUP(B10,DS,2,0)</f>
        <v>Nguyễn Thị Kim Quyên</v>
      </c>
      <c r="D10" s="103" t="str">
        <f t="shared" ref="D10" si="1">VLOOKUP(B10,DS,3,0)</f>
        <v>Văn Phòng</v>
      </c>
      <c r="E10" s="77">
        <f t="shared" ref="E10" si="2">VLOOKUP(B10,DS,4,0)</f>
        <v>4000000</v>
      </c>
      <c r="F10" s="79">
        <f>VLOOKUP(B10,'CC -10'!$B$8:$AS$17,36,0)</f>
        <v>26</v>
      </c>
      <c r="G10" s="132">
        <f t="shared" ref="G10" si="3">ROUND(E10/$U$2*F10,0)</f>
        <v>4000000</v>
      </c>
      <c r="H10" s="79">
        <f>(VLOOKUP(B10,'CC -10'!$B$8:$AS$17,37,0)+VLOOKUP(B10,'CC -10'!$B$8:$AS$17,38,0))</f>
        <v>0</v>
      </c>
      <c r="I10" s="132">
        <f t="shared" ref="I10" si="4">ROUND(E10/$U$2*H10,0)</f>
        <v>0</v>
      </c>
      <c r="J10" s="80">
        <f t="shared" ref="J10" si="5">F10+H10</f>
        <v>26</v>
      </c>
      <c r="K10" s="32">
        <f>G10+I10</f>
        <v>4000000</v>
      </c>
      <c r="L10" s="77">
        <f t="shared" ref="L10" si="6">+F10*15000</f>
        <v>390000</v>
      </c>
      <c r="M10" s="33">
        <f t="shared" ref="M10" si="7">K10+L10</f>
        <v>4390000</v>
      </c>
      <c r="N10" s="33">
        <f>IF(VLOOKUP($B10,DS,27,0)="x",$E10*N$4,0)</f>
        <v>0</v>
      </c>
      <c r="O10" s="33">
        <f>IF(VLOOKUP($B10,DS,27,0)="x",$E10*O$4,0)</f>
        <v>0</v>
      </c>
      <c r="P10" s="33">
        <f>IF(VLOOKUP($B10,DS,27,0)="x",$E10*P$4,0)</f>
        <v>0</v>
      </c>
      <c r="Q10" s="32">
        <f t="shared" ref="Q10" si="8">M10-SUM(N10:P10)</f>
        <v>4390000</v>
      </c>
      <c r="R10" s="32">
        <f>VLOOKUP(B10,DS,23,0)</f>
        <v>0</v>
      </c>
      <c r="S10" s="38">
        <f t="shared" ref="S10" si="9">Q10-R10</f>
        <v>4390000</v>
      </c>
      <c r="T10" s="32"/>
      <c r="U10" s="91"/>
      <c r="V10" s="30"/>
      <c r="W10" s="22"/>
      <c r="X10" s="5"/>
      <c r="Y10" s="5"/>
      <c r="Z10" s="5"/>
      <c r="AA10" s="4"/>
      <c r="AB10" s="4"/>
      <c r="AC10" s="4"/>
      <c r="AD10" s="4"/>
      <c r="AE10" s="4"/>
    </row>
    <row r="11" spans="1:31" s="29" customFormat="1" ht="24" customHeight="1">
      <c r="A11" s="187"/>
      <c r="B11" s="188"/>
      <c r="C11" s="189"/>
      <c r="D11" s="190"/>
      <c r="E11" s="191"/>
      <c r="F11" s="192"/>
      <c r="G11" s="193"/>
      <c r="H11" s="192"/>
      <c r="I11" s="193"/>
      <c r="J11" s="194"/>
      <c r="K11" s="195"/>
      <c r="L11" s="191"/>
      <c r="M11" s="196"/>
      <c r="N11" s="196"/>
      <c r="O11" s="196"/>
      <c r="P11" s="196"/>
      <c r="Q11" s="195"/>
      <c r="R11" s="195"/>
      <c r="S11" s="197"/>
      <c r="T11" s="195"/>
      <c r="U11" s="91"/>
      <c r="V11" s="30"/>
      <c r="W11" s="22"/>
      <c r="X11" s="5"/>
      <c r="Y11" s="5"/>
      <c r="Z11" s="5"/>
      <c r="AA11" s="4"/>
      <c r="AB11" s="4"/>
      <c r="AC11" s="4"/>
      <c r="AD11" s="4"/>
      <c r="AE11" s="4"/>
    </row>
    <row r="12" spans="1:31" s="25" customFormat="1" ht="21" customHeight="1">
      <c r="A12" s="221" t="s">
        <v>23</v>
      </c>
      <c r="B12" s="222"/>
      <c r="C12" s="222"/>
      <c r="D12" s="223"/>
      <c r="E12" s="127">
        <f>SUM(E9:E10)</f>
        <v>4000000</v>
      </c>
      <c r="F12" s="127"/>
      <c r="G12" s="127">
        <f>SUM(G9:G10)</f>
        <v>4000000</v>
      </c>
      <c r="H12" s="127"/>
      <c r="I12" s="127">
        <f>SUM(I9:I10)</f>
        <v>0</v>
      </c>
      <c r="J12" s="127"/>
      <c r="K12" s="127">
        <f t="shared" ref="K12:S12" si="10">SUM(K9:K10)</f>
        <v>4000000</v>
      </c>
      <c r="L12" s="127">
        <f t="shared" si="10"/>
        <v>390000</v>
      </c>
      <c r="M12" s="127">
        <f t="shared" si="10"/>
        <v>4390000</v>
      </c>
      <c r="N12" s="127">
        <f t="shared" si="10"/>
        <v>0</v>
      </c>
      <c r="O12" s="127">
        <f t="shared" si="10"/>
        <v>0</v>
      </c>
      <c r="P12" s="127">
        <f t="shared" si="10"/>
        <v>0</v>
      </c>
      <c r="Q12" s="127">
        <f t="shared" si="10"/>
        <v>4390000</v>
      </c>
      <c r="R12" s="127">
        <f t="shared" si="10"/>
        <v>0</v>
      </c>
      <c r="S12" s="127">
        <f t="shared" si="10"/>
        <v>4390000</v>
      </c>
      <c r="T12" s="20"/>
      <c r="U12" s="91"/>
      <c r="V12" s="26"/>
      <c r="W12" s="26"/>
      <c r="X12" s="26"/>
      <c r="Y12" s="26"/>
      <c r="Z12" s="26"/>
    </row>
    <row r="13" spans="1:31" s="72" customFormat="1" ht="24" customHeight="1">
      <c r="A13" s="174" t="s">
        <v>69</v>
      </c>
      <c r="B13" s="173" t="s">
        <v>70</v>
      </c>
      <c r="C13" s="172"/>
      <c r="D13" s="172"/>
      <c r="E13" s="172"/>
      <c r="F13" s="172"/>
      <c r="G13" s="172"/>
      <c r="H13" s="172"/>
      <c r="I13" s="172"/>
      <c r="J13" s="172"/>
      <c r="K13" s="172"/>
      <c r="L13" s="172"/>
      <c r="M13" s="172"/>
      <c r="N13" s="172"/>
      <c r="O13" s="172"/>
      <c r="P13" s="172"/>
      <c r="Q13" s="172"/>
      <c r="R13" s="172"/>
      <c r="S13" s="172"/>
      <c r="T13" s="172"/>
      <c r="U13" s="91"/>
      <c r="V13" s="73"/>
      <c r="W13" s="73"/>
      <c r="X13" s="74"/>
      <c r="Y13" s="74"/>
      <c r="Z13" s="74"/>
      <c r="AA13" s="75"/>
      <c r="AB13" s="75"/>
      <c r="AC13" s="75"/>
      <c r="AD13" s="75"/>
      <c r="AE13" s="75"/>
    </row>
    <row r="14" spans="1:31" s="29" customFormat="1" ht="24" customHeight="1">
      <c r="A14" s="31">
        <v>1</v>
      </c>
      <c r="B14" s="128" t="s">
        <v>75</v>
      </c>
      <c r="C14" s="76" t="str">
        <f t="shared" ref="C14:C16" si="11">VLOOKUP(B14,DS,2,0)</f>
        <v>Lê Văn Hữu</v>
      </c>
      <c r="D14" s="103" t="str">
        <f t="shared" ref="D14:D16" si="12">VLOOKUP(B14,DS,3,0)</f>
        <v>Công Đoạn 1</v>
      </c>
      <c r="E14" s="77">
        <f t="shared" ref="E14:E16" si="13">VLOOKUP(B14,DS,4,0)</f>
        <v>3200000</v>
      </c>
      <c r="F14" s="79">
        <f>VLOOKUP(B14,'CC -10'!$B$8:$AS$17,36,0)</f>
        <v>26</v>
      </c>
      <c r="G14" s="132">
        <f t="shared" ref="G14:G16" si="14">ROUND(E14/$U$2*F14,0)</f>
        <v>3200000</v>
      </c>
      <c r="H14" s="79">
        <f>(VLOOKUP(B14,'CC -10'!$B$8:$AS$17,37,0)+VLOOKUP(B14,'CC -10'!$B$8:$AS$17,38,0))</f>
        <v>0</v>
      </c>
      <c r="I14" s="132">
        <f t="shared" ref="I14:I16" si="15">ROUND(E14/$U$2*H14,0)</f>
        <v>0</v>
      </c>
      <c r="J14" s="133">
        <f t="shared" ref="J14:K16" si="16">F14+H14</f>
        <v>26</v>
      </c>
      <c r="K14" s="32">
        <f t="shared" si="16"/>
        <v>3200000</v>
      </c>
      <c r="L14" s="77">
        <f t="shared" ref="L14:L16" si="17">+F14*15000</f>
        <v>390000</v>
      </c>
      <c r="M14" s="33">
        <f t="shared" ref="M14:M16" si="18">K14+L14</f>
        <v>3590000</v>
      </c>
      <c r="N14" s="33">
        <f t="shared" ref="N14:P16" si="19">IF(VLOOKUP($B14,DS,27,0)="x",$E14*N$4,0)</f>
        <v>0</v>
      </c>
      <c r="O14" s="33">
        <f t="shared" si="19"/>
        <v>0</v>
      </c>
      <c r="P14" s="33">
        <f t="shared" si="19"/>
        <v>0</v>
      </c>
      <c r="Q14" s="32">
        <f>M14-SUM(N14:P14)</f>
        <v>3590000</v>
      </c>
      <c r="R14" s="32">
        <f t="shared" ref="R14:R16" si="20">VLOOKUP(B14,DS,23,0)</f>
        <v>0</v>
      </c>
      <c r="S14" s="38">
        <f>Q14-R14</f>
        <v>3590000</v>
      </c>
      <c r="T14" s="32"/>
      <c r="U14" s="91"/>
      <c r="V14" s="30"/>
      <c r="W14" s="22"/>
      <c r="X14" s="5"/>
      <c r="Y14" s="5"/>
      <c r="Z14" s="5"/>
      <c r="AA14" s="4"/>
      <c r="AB14" s="4"/>
      <c r="AC14" s="4"/>
      <c r="AD14" s="4"/>
      <c r="AE14" s="4"/>
    </row>
    <row r="15" spans="1:31" s="29" customFormat="1" ht="24" customHeight="1">
      <c r="A15" s="31">
        <v>2</v>
      </c>
      <c r="B15" s="128" t="s">
        <v>76</v>
      </c>
      <c r="C15" s="76" t="str">
        <f t="shared" ref="C15" si="21">VLOOKUP(B15,DS,2,0)</f>
        <v>Lý Thanh Hải</v>
      </c>
      <c r="D15" s="103" t="str">
        <f t="shared" ref="D15" si="22">VLOOKUP(B15,DS,3,0)</f>
        <v>Công Đoạn 1</v>
      </c>
      <c r="E15" s="77">
        <f t="shared" ref="E15" si="23">VLOOKUP(B15,DS,4,0)</f>
        <v>5000000</v>
      </c>
      <c r="F15" s="79">
        <f>VLOOKUP(B15,'CC -10'!$B$8:$AS$17,36,0)</f>
        <v>26</v>
      </c>
      <c r="G15" s="132">
        <f t="shared" ref="G15" si="24">ROUND(E15/$U$2*F15,0)</f>
        <v>5000000</v>
      </c>
      <c r="H15" s="79">
        <f>(VLOOKUP(B15,'CC -10'!$B$8:$AS$17,37,0)+VLOOKUP(B15,'CC -10'!$B$8:$AS$17,38,0))</f>
        <v>0</v>
      </c>
      <c r="I15" s="132">
        <f t="shared" ref="I15" si="25">ROUND(E15/$U$2*H15,0)</f>
        <v>0</v>
      </c>
      <c r="J15" s="133">
        <f t="shared" ref="J15" si="26">F15+H15</f>
        <v>26</v>
      </c>
      <c r="K15" s="32">
        <f t="shared" ref="K15" si="27">G15+I15</f>
        <v>5000000</v>
      </c>
      <c r="L15" s="77">
        <f t="shared" ref="L15" si="28">+F15*15000</f>
        <v>390000</v>
      </c>
      <c r="M15" s="33">
        <f t="shared" ref="M15" si="29">K15+L15</f>
        <v>5390000</v>
      </c>
      <c r="N15" s="33">
        <f t="shared" si="19"/>
        <v>0</v>
      </c>
      <c r="O15" s="33">
        <f t="shared" si="19"/>
        <v>0</v>
      </c>
      <c r="P15" s="33">
        <f t="shared" si="19"/>
        <v>0</v>
      </c>
      <c r="Q15" s="32">
        <f t="shared" ref="Q15" si="30">M15-SUM(N15:P15)</f>
        <v>5390000</v>
      </c>
      <c r="R15" s="32">
        <f t="shared" ref="R15" si="31">VLOOKUP(B15,DS,23,0)</f>
        <v>0</v>
      </c>
      <c r="S15" s="38">
        <f t="shared" ref="S15" si="32">Q15-R15</f>
        <v>5390000</v>
      </c>
      <c r="T15" s="32"/>
      <c r="U15" s="91"/>
      <c r="V15" s="30"/>
      <c r="W15" s="22"/>
      <c r="X15" s="5"/>
      <c r="Y15" s="5"/>
      <c r="Z15" s="5"/>
      <c r="AA15" s="4"/>
      <c r="AB15" s="4"/>
      <c r="AC15" s="4"/>
      <c r="AD15" s="4"/>
      <c r="AE15" s="4"/>
    </row>
    <row r="16" spans="1:31" s="29" customFormat="1" ht="24" customHeight="1">
      <c r="A16" s="31">
        <v>3</v>
      </c>
      <c r="B16" s="128" t="s">
        <v>77</v>
      </c>
      <c r="C16" s="76" t="str">
        <f t="shared" si="11"/>
        <v>Cao Minh Chí</v>
      </c>
      <c r="D16" s="103" t="str">
        <f t="shared" si="12"/>
        <v>Công Đoạn 2</v>
      </c>
      <c r="E16" s="77">
        <f t="shared" si="13"/>
        <v>3200000</v>
      </c>
      <c r="F16" s="79">
        <f>VLOOKUP(B16,'CC -10'!$B$8:$AS$17,36,0)</f>
        <v>26</v>
      </c>
      <c r="G16" s="132">
        <f t="shared" si="14"/>
        <v>3200000</v>
      </c>
      <c r="H16" s="79">
        <f>(VLOOKUP(B16,'CC -10'!$B$8:$AS$17,37,0)+VLOOKUP(B16,'CC -10'!$B$8:$AS$17,38,0))</f>
        <v>0</v>
      </c>
      <c r="I16" s="132">
        <f t="shared" si="15"/>
        <v>0</v>
      </c>
      <c r="J16" s="133">
        <f t="shared" si="16"/>
        <v>26</v>
      </c>
      <c r="K16" s="32">
        <f t="shared" si="16"/>
        <v>3200000</v>
      </c>
      <c r="L16" s="77">
        <f t="shared" si="17"/>
        <v>390000</v>
      </c>
      <c r="M16" s="33">
        <f t="shared" si="18"/>
        <v>3590000</v>
      </c>
      <c r="N16" s="33">
        <f t="shared" si="19"/>
        <v>0</v>
      </c>
      <c r="O16" s="33">
        <f t="shared" si="19"/>
        <v>0</v>
      </c>
      <c r="P16" s="33">
        <f t="shared" si="19"/>
        <v>0</v>
      </c>
      <c r="Q16" s="32">
        <f t="shared" ref="Q16" si="33">M16-SUM(N16:P16)</f>
        <v>3590000</v>
      </c>
      <c r="R16" s="32">
        <f t="shared" si="20"/>
        <v>0</v>
      </c>
      <c r="S16" s="38">
        <f t="shared" ref="S16" si="34">Q16-R16</f>
        <v>3590000</v>
      </c>
      <c r="T16" s="32"/>
      <c r="U16" s="91"/>
      <c r="V16" s="30"/>
      <c r="W16" s="22"/>
      <c r="X16" s="5"/>
      <c r="Y16" s="5"/>
      <c r="Z16" s="5"/>
      <c r="AA16" s="4"/>
      <c r="AB16" s="4"/>
      <c r="AC16" s="4"/>
      <c r="AD16" s="4"/>
      <c r="AE16" s="4"/>
    </row>
    <row r="17" spans="1:26" s="29" customFormat="1" ht="22.5" customHeight="1">
      <c r="A17" s="34"/>
      <c r="B17" s="171"/>
      <c r="C17" s="35"/>
      <c r="D17" s="3"/>
      <c r="E17" s="36"/>
      <c r="F17" s="36"/>
      <c r="G17" s="36"/>
      <c r="H17" s="36"/>
      <c r="I17" s="36"/>
      <c r="J17" s="37"/>
      <c r="K17" s="36"/>
      <c r="L17" s="36"/>
      <c r="M17" s="170"/>
      <c r="N17" s="36"/>
      <c r="O17" s="36"/>
      <c r="P17" s="36"/>
      <c r="Q17" s="36"/>
      <c r="R17" s="36"/>
      <c r="S17" s="36"/>
      <c r="T17" s="32"/>
      <c r="U17" s="91"/>
      <c r="V17" s="30"/>
      <c r="W17" s="30"/>
      <c r="X17" s="30"/>
      <c r="Y17" s="30"/>
      <c r="Z17" s="30"/>
    </row>
    <row r="18" spans="1:26" s="25" customFormat="1" ht="21" customHeight="1">
      <c r="A18" s="221" t="s">
        <v>23</v>
      </c>
      <c r="B18" s="222"/>
      <c r="C18" s="222"/>
      <c r="D18" s="223"/>
      <c r="E18" s="127">
        <f>SUM(E13:E17)</f>
        <v>11400000</v>
      </c>
      <c r="F18" s="127"/>
      <c r="G18" s="127">
        <f>SUM(G13:G17)</f>
        <v>11400000</v>
      </c>
      <c r="H18" s="127"/>
      <c r="I18" s="127">
        <f>SUM(I13:I17)</f>
        <v>0</v>
      </c>
      <c r="J18" s="127"/>
      <c r="K18" s="127">
        <f t="shared" ref="K18:S18" si="35">SUM(K13:K17)</f>
        <v>11400000</v>
      </c>
      <c r="L18" s="127">
        <f t="shared" si="35"/>
        <v>1170000</v>
      </c>
      <c r="M18" s="127">
        <f t="shared" si="35"/>
        <v>12570000</v>
      </c>
      <c r="N18" s="127">
        <f t="shared" si="35"/>
        <v>0</v>
      </c>
      <c r="O18" s="127">
        <f t="shared" si="35"/>
        <v>0</v>
      </c>
      <c r="P18" s="127">
        <f t="shared" si="35"/>
        <v>0</v>
      </c>
      <c r="Q18" s="127">
        <f t="shared" si="35"/>
        <v>12570000</v>
      </c>
      <c r="R18" s="127">
        <f t="shared" si="35"/>
        <v>0</v>
      </c>
      <c r="S18" s="127">
        <f t="shared" si="35"/>
        <v>12570000</v>
      </c>
      <c r="T18" s="20"/>
      <c r="U18" s="91"/>
      <c r="V18" s="26"/>
      <c r="W18" s="26"/>
      <c r="X18" s="26"/>
      <c r="Y18" s="26"/>
      <c r="Z18" s="26"/>
    </row>
    <row r="19" spans="1:26" ht="11.25" customHeight="1">
      <c r="A19" s="8"/>
      <c r="B19" s="8"/>
      <c r="C19" s="9"/>
      <c r="D19" s="104"/>
      <c r="E19" s="81"/>
      <c r="F19" s="9"/>
      <c r="G19" s="9"/>
      <c r="H19" s="9"/>
      <c r="I19" s="9"/>
      <c r="K19" s="9"/>
      <c r="L19" s="9"/>
      <c r="M19" s="89"/>
      <c r="N19" s="9"/>
      <c r="O19" s="9"/>
      <c r="P19" s="9"/>
      <c r="Q19" s="9"/>
      <c r="R19" s="9"/>
      <c r="S19" s="9"/>
      <c r="T19" s="9"/>
      <c r="U19" s="91"/>
    </row>
    <row r="20" spans="1:26" s="29" customFormat="1" ht="11.25" customHeight="1">
      <c r="A20" s="65"/>
      <c r="B20" s="65"/>
      <c r="C20" s="65"/>
      <c r="D20" s="120"/>
      <c r="E20" s="121"/>
      <c r="F20" s="65"/>
      <c r="G20" s="65"/>
      <c r="H20" s="65"/>
      <c r="I20" s="65"/>
      <c r="J20" s="122"/>
      <c r="K20" s="121"/>
      <c r="L20" s="65"/>
      <c r="M20" s="65"/>
      <c r="N20" s="65"/>
      <c r="O20" s="65"/>
      <c r="P20" s="65"/>
      <c r="Q20" s="65"/>
      <c r="R20" s="65"/>
      <c r="S20" s="95" t="str">
        <f>"Bình Chánh, ngày  "&amp;$V$2&amp;"   tháng   "&amp;TEXT($E$4,"mm")&amp;"   năm "&amp;TEXT($E$4,"yyyy")</f>
        <v>Bình Chánh, ngày  31   tháng   10   năm 2017</v>
      </c>
      <c r="T20" s="65"/>
      <c r="U20" s="123"/>
      <c r="V20" s="30"/>
      <c r="W20" s="30"/>
      <c r="X20" s="30"/>
      <c r="Y20" s="30"/>
      <c r="Z20" s="30"/>
    </row>
    <row r="21" spans="1:26" s="29" customFormat="1" ht="12.75">
      <c r="A21" s="23"/>
      <c r="B21" s="23"/>
      <c r="C21" s="23" t="s">
        <v>53</v>
      </c>
      <c r="D21" s="124"/>
      <c r="E21" s="66"/>
      <c r="F21" s="123"/>
      <c r="G21" s="66"/>
      <c r="H21" s="66"/>
      <c r="I21" s="66"/>
      <c r="J21" s="125"/>
      <c r="K21" s="30"/>
      <c r="L21" s="23"/>
      <c r="M21" s="134"/>
      <c r="N21" s="19"/>
      <c r="O21" s="19"/>
      <c r="P21" s="19"/>
      <c r="Q21" s="19"/>
      <c r="S21" s="123" t="s">
        <v>21</v>
      </c>
      <c r="T21" s="123"/>
      <c r="U21" s="123"/>
      <c r="V21" s="30"/>
      <c r="W21" s="30"/>
      <c r="X21" s="30"/>
      <c r="Y21" s="30"/>
      <c r="Z21" s="30"/>
    </row>
    <row r="22" spans="1:26" ht="12">
      <c r="A22" s="8"/>
      <c r="B22" s="8"/>
      <c r="C22" s="15"/>
      <c r="E22" s="13"/>
      <c r="F22" s="12"/>
      <c r="G22" s="13"/>
      <c r="H22" s="13"/>
      <c r="I22" s="13"/>
      <c r="K22" s="7"/>
      <c r="L22" s="15"/>
      <c r="N22" s="11"/>
      <c r="O22" s="11"/>
      <c r="P22" s="11"/>
      <c r="Q22" s="11"/>
      <c r="S22" s="11"/>
      <c r="T22" s="12"/>
      <c r="U22" s="91"/>
    </row>
    <row r="23" spans="1:26" ht="12">
      <c r="C23" s="15"/>
      <c r="L23" s="15"/>
      <c r="T23" s="15"/>
      <c r="U23" s="91"/>
    </row>
    <row r="24" spans="1:26" ht="12">
      <c r="U24" s="91"/>
    </row>
    <row r="25" spans="1:26" ht="12">
      <c r="U25" s="91"/>
    </row>
    <row r="26" spans="1:26" ht="12">
      <c r="U26" s="91"/>
    </row>
    <row r="27" spans="1:26" ht="12">
      <c r="U27" s="91"/>
    </row>
    <row r="28" spans="1:26" ht="12">
      <c r="U28" s="91"/>
    </row>
    <row r="29" spans="1:26" ht="12">
      <c r="U29" s="91"/>
    </row>
  </sheetData>
  <protectedRanges>
    <protectedRange password="CC78" sqref="V17:IK18 C5:D7 B21:C21 V5:W9 A17:A22 B17:B20 B22 V13:W13 Q5:T7 E5:I6 D18 N5:P6 L5 L21 J6:K7 L7 A24:T57 U30:U57 N17:S17 V24:IK57 J17:L17 A58:IK65325 AF13:IK13 V12:IK12 D12 Q10:S11 W10:W11 AF5:IK11 A10:B12" name="Range1"/>
    <protectedRange password="CC78" sqref="F7:H7" name="Range1_4"/>
    <protectedRange password="CC78" sqref="V21:IK22 S21:T22 N21:Q22 E21:I22" name="Range1_1_1"/>
    <protectedRange password="CC78" sqref="U1 W1:IK3 V4:IK4 B4:T4 R2:S3 B1:Q3 U17:U29 X13:AE13 U4:U13 X5:AE11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4:W16 Q14:S16 AF14:IK16 A14:B16" name="Range1_5"/>
    <protectedRange password="CC78" sqref="U14:U16 X14:AE16" name="Range1_2_3"/>
    <protectedRange password="CC78" sqref="V14:V16" name="Range1_1_3"/>
    <protectedRange password="CC78" sqref="K10:K11 K14:K16" name="Range1_6"/>
    <protectedRange password="CC78" sqref="A2:A3" name="Range1_2_1_3"/>
    <protectedRange password="CC78" sqref="E12:T12" name="Range1_3"/>
    <protectedRange password="CC78" sqref="E18:T18" name="Range1_7"/>
    <protectedRange password="CC78" sqref="U2" name="Range1_2_2_1_1"/>
  </protectedRanges>
  <autoFilter ref="A7:AE10"/>
  <mergeCells count="22"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F12" sqref="F12:AI1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8" customWidth="1"/>
    <col min="5" max="5" width="7.140625" style="2" customWidth="1"/>
    <col min="6" max="33" width="3.42578125" style="110" customWidth="1"/>
    <col min="34" max="35" width="3.42578125" style="111" customWidth="1"/>
    <col min="36" max="36" width="3.42578125" style="111" hidden="1" customWidth="1"/>
    <col min="37" max="38" width="4.42578125" style="2" customWidth="1"/>
    <col min="39" max="39" width="5.5703125" style="8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6"/>
      <c r="B1" s="41"/>
      <c r="C1" s="41"/>
      <c r="D1" s="45"/>
      <c r="E1" s="41"/>
      <c r="F1" s="45"/>
      <c r="G1" s="45"/>
      <c r="H1" s="45"/>
      <c r="I1" s="45"/>
      <c r="J1" s="45"/>
      <c r="K1" s="106"/>
      <c r="L1" s="106"/>
      <c r="M1" s="106"/>
      <c r="N1" s="106"/>
      <c r="O1" s="106"/>
      <c r="P1" s="106"/>
      <c r="Q1" s="106"/>
      <c r="R1" s="106"/>
      <c r="S1" s="43" t="str">
        <f>CONCATENATE("BẢNG CHẤM CÔNG THÁNG ",TEXT($E$4,"mm")," NĂM ",TEXT($E$4,"yyyy"))</f>
        <v>BẢNG CHẤM CÔNG THÁNG 11 NĂM 2017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42"/>
      <c r="AL1" s="42"/>
      <c r="AM1" s="259" t="s">
        <v>79</v>
      </c>
      <c r="AN1" s="260"/>
      <c r="AO1" s="260"/>
      <c r="AP1" s="260"/>
      <c r="AQ1" s="260"/>
      <c r="AR1" s="260"/>
      <c r="AS1" s="261"/>
      <c r="AT1" s="44"/>
    </row>
    <row r="2" spans="1:91" ht="20.25">
      <c r="A2" s="126"/>
      <c r="B2" s="45"/>
      <c r="C2" s="45"/>
      <c r="D2" s="45"/>
      <c r="E2" s="45"/>
      <c r="F2" s="45"/>
      <c r="G2" s="45"/>
      <c r="H2" s="45"/>
      <c r="I2" s="45"/>
      <c r="J2" s="45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42"/>
      <c r="AL2" s="42"/>
      <c r="AM2" s="83"/>
      <c r="AN2" s="46"/>
      <c r="AO2" s="46"/>
      <c r="AP2" s="46"/>
      <c r="AQ2" s="46"/>
      <c r="AR2" s="46"/>
      <c r="AS2" s="82"/>
      <c r="AT2" s="82"/>
    </row>
    <row r="3" spans="1:91" ht="21" customHeight="1">
      <c r="A3" s="126"/>
      <c r="B3" s="47"/>
      <c r="C3" s="47"/>
      <c r="D3" s="48"/>
      <c r="E3" s="48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42"/>
      <c r="AL3" s="42"/>
      <c r="AM3" s="83"/>
      <c r="AN3" s="44"/>
      <c r="AO3" s="44"/>
      <c r="AP3" s="44"/>
      <c r="AQ3" s="44"/>
      <c r="AR3" s="44"/>
      <c r="AS3" s="49"/>
      <c r="AT3" s="49"/>
    </row>
    <row r="4" spans="1:91" ht="14.25" customHeight="1">
      <c r="A4" s="50"/>
      <c r="B4" s="50"/>
      <c r="C4" s="142"/>
      <c r="D4" s="141"/>
      <c r="E4" s="51">
        <v>43040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3"/>
      <c r="AI4" s="53"/>
      <c r="AJ4" s="53"/>
      <c r="AK4" s="50"/>
      <c r="AL4" s="50"/>
      <c r="AM4" s="84"/>
      <c r="AN4" s="50"/>
      <c r="AO4" s="50"/>
      <c r="AP4" s="50"/>
      <c r="AQ4" s="50"/>
      <c r="AR4" s="50"/>
      <c r="AS4" s="50"/>
      <c r="AT4" s="88"/>
    </row>
    <row r="5" spans="1:91" s="54" customFormat="1" ht="18.75" customHeight="1">
      <c r="A5" s="256" t="s">
        <v>26</v>
      </c>
      <c r="B5" s="256" t="s">
        <v>3</v>
      </c>
      <c r="C5" s="256" t="s">
        <v>1</v>
      </c>
      <c r="D5" s="258" t="s">
        <v>27</v>
      </c>
      <c r="E5" s="256" t="s">
        <v>28</v>
      </c>
      <c r="F5" s="105">
        <f>+E4</f>
        <v>43040</v>
      </c>
      <c r="G5" s="105">
        <f t="shared" ref="G5:AI5" si="0">F5+1</f>
        <v>43041</v>
      </c>
      <c r="H5" s="105">
        <f t="shared" si="0"/>
        <v>43042</v>
      </c>
      <c r="I5" s="105">
        <f t="shared" si="0"/>
        <v>43043</v>
      </c>
      <c r="J5" s="105">
        <f t="shared" si="0"/>
        <v>43044</v>
      </c>
      <c r="K5" s="105">
        <f t="shared" si="0"/>
        <v>43045</v>
      </c>
      <c r="L5" s="105">
        <f t="shared" si="0"/>
        <v>43046</v>
      </c>
      <c r="M5" s="105">
        <f t="shared" si="0"/>
        <v>43047</v>
      </c>
      <c r="N5" s="105">
        <f t="shared" si="0"/>
        <v>43048</v>
      </c>
      <c r="O5" s="105">
        <f t="shared" si="0"/>
        <v>43049</v>
      </c>
      <c r="P5" s="105">
        <f t="shared" si="0"/>
        <v>43050</v>
      </c>
      <c r="Q5" s="105">
        <f t="shared" si="0"/>
        <v>43051</v>
      </c>
      <c r="R5" s="105">
        <f t="shared" si="0"/>
        <v>43052</v>
      </c>
      <c r="S5" s="105">
        <f t="shared" si="0"/>
        <v>43053</v>
      </c>
      <c r="T5" s="105">
        <f t="shared" si="0"/>
        <v>43054</v>
      </c>
      <c r="U5" s="105">
        <f t="shared" si="0"/>
        <v>43055</v>
      </c>
      <c r="V5" s="105">
        <f t="shared" si="0"/>
        <v>43056</v>
      </c>
      <c r="W5" s="105">
        <f t="shared" si="0"/>
        <v>43057</v>
      </c>
      <c r="X5" s="105">
        <f t="shared" si="0"/>
        <v>43058</v>
      </c>
      <c r="Y5" s="105">
        <f t="shared" si="0"/>
        <v>43059</v>
      </c>
      <c r="Z5" s="105">
        <f t="shared" si="0"/>
        <v>43060</v>
      </c>
      <c r="AA5" s="105">
        <f t="shared" si="0"/>
        <v>43061</v>
      </c>
      <c r="AB5" s="105">
        <f t="shared" si="0"/>
        <v>43062</v>
      </c>
      <c r="AC5" s="105">
        <f t="shared" si="0"/>
        <v>43063</v>
      </c>
      <c r="AD5" s="105">
        <f t="shared" si="0"/>
        <v>43064</v>
      </c>
      <c r="AE5" s="105">
        <f t="shared" si="0"/>
        <v>43065</v>
      </c>
      <c r="AF5" s="105">
        <f t="shared" si="0"/>
        <v>43066</v>
      </c>
      <c r="AG5" s="105">
        <f t="shared" si="0"/>
        <v>43067</v>
      </c>
      <c r="AH5" s="105">
        <f>AG5+1</f>
        <v>43068</v>
      </c>
      <c r="AI5" s="105">
        <f t="shared" si="0"/>
        <v>43069</v>
      </c>
      <c r="AJ5" s="209"/>
      <c r="AK5" s="262" t="s">
        <v>15</v>
      </c>
      <c r="AL5" s="263"/>
      <c r="AM5" s="264"/>
      <c r="AN5" s="265" t="s">
        <v>39</v>
      </c>
      <c r="AO5" s="265" t="s">
        <v>35</v>
      </c>
      <c r="AP5" s="265" t="s">
        <v>36</v>
      </c>
      <c r="AQ5" s="265" t="s">
        <v>37</v>
      </c>
      <c r="AR5" s="265" t="s">
        <v>38</v>
      </c>
      <c r="AS5" s="258" t="s">
        <v>0</v>
      </c>
      <c r="AT5" s="25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4" customFormat="1" ht="39.75" customHeight="1">
      <c r="A6" s="257"/>
      <c r="B6" s="257"/>
      <c r="C6" s="257"/>
      <c r="D6" s="257"/>
      <c r="E6" s="257"/>
      <c r="F6" s="160" t="str">
        <f>CHOOSE(WEEKDAY(F5),"C.Nhật","T.Hai","T.Ba","T.Tư","T.Năm","T.Sáu","T.Bảy")</f>
        <v>T.Tư</v>
      </c>
      <c r="G6" s="160" t="str">
        <f t="shared" ref="G6:AI6" si="1">CHOOSE(WEEKDAY(G5),"C.Nhật","T.Hai","T.Ba","T.Tư","T.Năm","T.Sáu","T.Bảy")</f>
        <v>T.Năm</v>
      </c>
      <c r="H6" s="160" t="str">
        <f t="shared" si="1"/>
        <v>T.Sáu</v>
      </c>
      <c r="I6" s="160" t="str">
        <f t="shared" si="1"/>
        <v>T.Bảy</v>
      </c>
      <c r="J6" s="160" t="str">
        <f t="shared" si="1"/>
        <v>C.Nhật</v>
      </c>
      <c r="K6" s="160" t="str">
        <f t="shared" si="1"/>
        <v>T.Hai</v>
      </c>
      <c r="L6" s="160" t="str">
        <f t="shared" si="1"/>
        <v>T.Ba</v>
      </c>
      <c r="M6" s="160" t="str">
        <f t="shared" si="1"/>
        <v>T.Tư</v>
      </c>
      <c r="N6" s="160" t="str">
        <f t="shared" si="1"/>
        <v>T.Năm</v>
      </c>
      <c r="O6" s="160" t="str">
        <f t="shared" si="1"/>
        <v>T.Sáu</v>
      </c>
      <c r="P6" s="160" t="str">
        <f t="shared" si="1"/>
        <v>T.Bảy</v>
      </c>
      <c r="Q6" s="160" t="str">
        <f t="shared" si="1"/>
        <v>C.Nhật</v>
      </c>
      <c r="R6" s="160" t="str">
        <f t="shared" si="1"/>
        <v>T.Hai</v>
      </c>
      <c r="S6" s="160" t="str">
        <f t="shared" si="1"/>
        <v>T.Ba</v>
      </c>
      <c r="T6" s="160" t="str">
        <f t="shared" si="1"/>
        <v>T.Tư</v>
      </c>
      <c r="U6" s="160" t="str">
        <f t="shared" si="1"/>
        <v>T.Năm</v>
      </c>
      <c r="V6" s="160" t="str">
        <f t="shared" si="1"/>
        <v>T.Sáu</v>
      </c>
      <c r="W6" s="160" t="str">
        <f t="shared" si="1"/>
        <v>T.Bảy</v>
      </c>
      <c r="X6" s="160" t="str">
        <f t="shared" si="1"/>
        <v>C.Nhật</v>
      </c>
      <c r="Y6" s="160" t="str">
        <f t="shared" si="1"/>
        <v>T.Hai</v>
      </c>
      <c r="Z6" s="160" t="str">
        <f t="shared" si="1"/>
        <v>T.Ba</v>
      </c>
      <c r="AA6" s="160" t="str">
        <f t="shared" si="1"/>
        <v>T.Tư</v>
      </c>
      <c r="AB6" s="160" t="str">
        <f t="shared" si="1"/>
        <v>T.Năm</v>
      </c>
      <c r="AC6" s="160" t="str">
        <f t="shared" si="1"/>
        <v>T.Sáu</v>
      </c>
      <c r="AD6" s="160" t="str">
        <f t="shared" si="1"/>
        <v>T.Bảy</v>
      </c>
      <c r="AE6" s="160" t="str">
        <f t="shared" si="1"/>
        <v>C.Nhật</v>
      </c>
      <c r="AF6" s="160" t="str">
        <f t="shared" si="1"/>
        <v>T.Hai</v>
      </c>
      <c r="AG6" s="160" t="str">
        <f t="shared" si="1"/>
        <v>T.Ba</v>
      </c>
      <c r="AH6" s="160" t="str">
        <f t="shared" si="1"/>
        <v>T.Tư</v>
      </c>
      <c r="AI6" s="160" t="str">
        <f t="shared" si="1"/>
        <v>T.Năm</v>
      </c>
      <c r="AJ6" s="160"/>
      <c r="AK6" s="161" t="s">
        <v>16</v>
      </c>
      <c r="AL6" s="161" t="s">
        <v>29</v>
      </c>
      <c r="AM6" s="162" t="s">
        <v>17</v>
      </c>
      <c r="AN6" s="266"/>
      <c r="AO6" s="266"/>
      <c r="AP6" s="266"/>
      <c r="AQ6" s="266"/>
      <c r="AR6" s="266"/>
      <c r="AS6" s="257"/>
      <c r="AT6" s="25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4" customFormat="1" ht="12.75" customHeight="1">
      <c r="A7" s="163">
        <v>1</v>
      </c>
      <c r="B7" s="163">
        <v>1</v>
      </c>
      <c r="C7" s="163">
        <v>2</v>
      </c>
      <c r="D7" s="163">
        <v>3</v>
      </c>
      <c r="E7" s="163">
        <v>4</v>
      </c>
      <c r="F7" s="163">
        <v>5</v>
      </c>
      <c r="G7" s="163">
        <v>6</v>
      </c>
      <c r="H7" s="163">
        <v>7</v>
      </c>
      <c r="I7" s="163">
        <v>8</v>
      </c>
      <c r="J7" s="163">
        <v>9</v>
      </c>
      <c r="K7" s="163">
        <v>10</v>
      </c>
      <c r="L7" s="163">
        <v>11</v>
      </c>
      <c r="M7" s="163">
        <v>12</v>
      </c>
      <c r="N7" s="163">
        <v>13</v>
      </c>
      <c r="O7" s="163">
        <v>14</v>
      </c>
      <c r="P7" s="163">
        <v>15</v>
      </c>
      <c r="Q7" s="163">
        <v>16</v>
      </c>
      <c r="R7" s="163">
        <v>17</v>
      </c>
      <c r="S7" s="163">
        <v>18</v>
      </c>
      <c r="T7" s="163">
        <v>19</v>
      </c>
      <c r="U7" s="163">
        <v>20</v>
      </c>
      <c r="V7" s="163">
        <v>21</v>
      </c>
      <c r="W7" s="163">
        <v>22</v>
      </c>
      <c r="X7" s="163">
        <v>23</v>
      </c>
      <c r="Y7" s="163">
        <v>24</v>
      </c>
      <c r="Z7" s="163">
        <v>25</v>
      </c>
      <c r="AA7" s="163">
        <v>26</v>
      </c>
      <c r="AB7" s="163">
        <v>27</v>
      </c>
      <c r="AC7" s="163">
        <v>28</v>
      </c>
      <c r="AD7" s="163">
        <v>29</v>
      </c>
      <c r="AE7" s="163">
        <v>30</v>
      </c>
      <c r="AF7" s="163">
        <v>31</v>
      </c>
      <c r="AG7" s="163">
        <v>32</v>
      </c>
      <c r="AH7" s="163">
        <v>33</v>
      </c>
      <c r="AI7" s="163">
        <v>34</v>
      </c>
      <c r="AJ7" s="163"/>
      <c r="AK7" s="163">
        <v>36</v>
      </c>
      <c r="AL7" s="163">
        <v>37</v>
      </c>
      <c r="AM7" s="163">
        <v>38</v>
      </c>
      <c r="AN7" s="163">
        <v>39</v>
      </c>
      <c r="AO7" s="163">
        <v>40</v>
      </c>
      <c r="AP7" s="163">
        <v>41</v>
      </c>
      <c r="AQ7" s="163">
        <v>42</v>
      </c>
      <c r="AR7" s="163">
        <v>43</v>
      </c>
      <c r="AS7" s="163">
        <v>44</v>
      </c>
      <c r="AT7" s="200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6" customFormat="1" ht="21" customHeight="1">
      <c r="A8" s="164" t="s">
        <v>68</v>
      </c>
      <c r="B8" s="167" t="s">
        <v>80</v>
      </c>
      <c r="C8" s="168"/>
      <c r="D8" s="168"/>
      <c r="E8" s="168"/>
      <c r="F8" s="168"/>
      <c r="G8" s="168"/>
      <c r="H8" s="168"/>
      <c r="I8" s="168"/>
      <c r="J8" s="168"/>
      <c r="K8" s="168"/>
      <c r="L8" s="168"/>
      <c r="M8" s="168"/>
      <c r="N8" s="168"/>
      <c r="O8" s="168"/>
      <c r="P8" s="168"/>
      <c r="Q8" s="168"/>
      <c r="R8" s="168"/>
      <c r="S8" s="168"/>
      <c r="T8" s="168"/>
      <c r="U8" s="168"/>
      <c r="V8" s="168"/>
      <c r="W8" s="168"/>
      <c r="X8" s="168"/>
      <c r="Y8" s="168"/>
      <c r="Z8" s="168"/>
      <c r="AA8" s="168"/>
      <c r="AB8" s="168"/>
      <c r="AC8" s="168"/>
      <c r="AD8" s="168"/>
      <c r="AE8" s="168"/>
      <c r="AF8" s="168"/>
      <c r="AG8" s="168"/>
      <c r="AH8" s="168"/>
      <c r="AI8" s="168"/>
      <c r="AJ8" s="168"/>
      <c r="AK8" s="168"/>
      <c r="AL8" s="168"/>
      <c r="AM8" s="168"/>
      <c r="AN8" s="168"/>
      <c r="AO8" s="168"/>
      <c r="AP8" s="168"/>
      <c r="AQ8" s="168"/>
      <c r="AR8" s="168"/>
      <c r="AS8" s="169"/>
      <c r="AT8" s="165"/>
    </row>
    <row r="9" spans="1:91" s="54" customFormat="1" ht="18" customHeight="1">
      <c r="A9" s="249">
        <v>1</v>
      </c>
      <c r="B9" s="249" t="s">
        <v>74</v>
      </c>
      <c r="C9" s="251" t="str">
        <f>VLOOKUP(B9,DS,2,0)</f>
        <v>Nguyễn Thị Kim Quyên</v>
      </c>
      <c r="D9" s="253" t="str">
        <f>VLOOKUP(B9,DS,3,0)</f>
        <v>Văn Phòng</v>
      </c>
      <c r="E9" s="55" t="s">
        <v>30</v>
      </c>
      <c r="F9" s="130">
        <v>8</v>
      </c>
      <c r="G9" s="130">
        <v>8</v>
      </c>
      <c r="H9" s="130">
        <v>8</v>
      </c>
      <c r="I9" s="130">
        <v>8</v>
      </c>
      <c r="J9" s="130"/>
      <c r="K9" s="130">
        <v>8</v>
      </c>
      <c r="L9" s="130">
        <v>8</v>
      </c>
      <c r="M9" s="130">
        <v>8</v>
      </c>
      <c r="N9" s="130">
        <v>8</v>
      </c>
      <c r="O9" s="130">
        <v>8</v>
      </c>
      <c r="P9" s="130">
        <v>8</v>
      </c>
      <c r="Q9" s="130"/>
      <c r="R9" s="130">
        <v>8</v>
      </c>
      <c r="S9" s="130">
        <v>8</v>
      </c>
      <c r="T9" s="130">
        <v>8</v>
      </c>
      <c r="U9" s="130">
        <v>8</v>
      </c>
      <c r="V9" s="130">
        <v>8</v>
      </c>
      <c r="W9" s="130">
        <v>8</v>
      </c>
      <c r="X9" s="130"/>
      <c r="Y9" s="130">
        <v>8</v>
      </c>
      <c r="Z9" s="130">
        <v>8</v>
      </c>
      <c r="AA9" s="130">
        <v>8</v>
      </c>
      <c r="AB9" s="130">
        <v>8</v>
      </c>
      <c r="AC9" s="130">
        <v>8</v>
      </c>
      <c r="AD9" s="130">
        <v>8</v>
      </c>
      <c r="AE9" s="130"/>
      <c r="AF9" s="130">
        <v>8</v>
      </c>
      <c r="AG9" s="130">
        <v>8</v>
      </c>
      <c r="AH9" s="130">
        <v>8</v>
      </c>
      <c r="AI9" s="130">
        <v>8</v>
      </c>
      <c r="AJ9" s="210"/>
      <c r="AK9" s="245">
        <f>((SUM(F9:AI9))/8)-(SUMIF($F$6:$AI$6,"C.Nhật",F9:AI9)/8)</f>
        <v>26</v>
      </c>
      <c r="AL9" s="245">
        <f>SUM(F10:AI10)/8*1.5</f>
        <v>0</v>
      </c>
      <c r="AM9" s="247">
        <f>SUMIF($F$6:$AI$6,"C.Nhật",$F9:$AI10)/8*2</f>
        <v>0</v>
      </c>
      <c r="AN9" s="241">
        <f>SUM(AK9:AM10)</f>
        <v>26</v>
      </c>
      <c r="AO9" s="243">
        <v>0</v>
      </c>
      <c r="AP9" s="241"/>
      <c r="AQ9" s="241"/>
      <c r="AR9" s="241"/>
      <c r="AS9" s="239"/>
      <c r="AT9" s="200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4" customFormat="1" ht="18" customHeight="1">
      <c r="A10" s="250"/>
      <c r="B10" s="250"/>
      <c r="C10" s="252"/>
      <c r="D10" s="254"/>
      <c r="E10" s="56" t="s">
        <v>29</v>
      </c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211"/>
      <c r="AK10" s="246"/>
      <c r="AL10" s="246"/>
      <c r="AM10" s="248"/>
      <c r="AN10" s="242"/>
      <c r="AO10" s="244"/>
      <c r="AP10" s="242"/>
      <c r="AQ10" s="242"/>
      <c r="AR10" s="242"/>
      <c r="AS10" s="240"/>
      <c r="AT10" s="200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66" customFormat="1" ht="21" customHeight="1">
      <c r="A11" s="164" t="s">
        <v>69</v>
      </c>
      <c r="B11" s="167" t="s">
        <v>73</v>
      </c>
      <c r="C11" s="168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  <c r="P11" s="168"/>
      <c r="Q11" s="168"/>
      <c r="R11" s="168"/>
      <c r="S11" s="168"/>
      <c r="T11" s="168"/>
      <c r="U11" s="168"/>
      <c r="V11" s="168"/>
      <c r="W11" s="168"/>
      <c r="X11" s="168"/>
      <c r="Y11" s="168"/>
      <c r="Z11" s="168"/>
      <c r="AA11" s="168"/>
      <c r="AB11" s="168"/>
      <c r="AC11" s="168"/>
      <c r="AD11" s="168"/>
      <c r="AE11" s="168"/>
      <c r="AF11" s="168"/>
      <c r="AG11" s="168"/>
      <c r="AH11" s="168"/>
      <c r="AI11" s="168"/>
      <c r="AJ11" s="168"/>
      <c r="AK11" s="168"/>
      <c r="AL11" s="168"/>
      <c r="AM11" s="168"/>
      <c r="AN11" s="168"/>
      <c r="AO11" s="168"/>
      <c r="AP11" s="168"/>
      <c r="AQ11" s="168"/>
      <c r="AR11" s="168"/>
      <c r="AS11" s="169"/>
      <c r="AT11" s="165"/>
    </row>
    <row r="12" spans="1:91" s="54" customFormat="1" ht="18" customHeight="1">
      <c r="A12" s="249">
        <v>1</v>
      </c>
      <c r="B12" s="249" t="s">
        <v>75</v>
      </c>
      <c r="C12" s="251" t="str">
        <f>VLOOKUP(B12,DS,2,0)</f>
        <v>Lê Văn Hữu</v>
      </c>
      <c r="D12" s="253" t="str">
        <f>VLOOKUP(B12,DS,3,0)</f>
        <v>Công Đoạn 1</v>
      </c>
      <c r="E12" s="55" t="s">
        <v>30</v>
      </c>
      <c r="F12" s="130">
        <v>8</v>
      </c>
      <c r="G12" s="130">
        <v>8</v>
      </c>
      <c r="H12" s="130">
        <v>8</v>
      </c>
      <c r="I12" s="130">
        <v>8</v>
      </c>
      <c r="J12" s="130"/>
      <c r="K12" s="130">
        <v>8</v>
      </c>
      <c r="L12" s="130">
        <v>8</v>
      </c>
      <c r="M12" s="130">
        <v>8</v>
      </c>
      <c r="N12" s="130">
        <v>8</v>
      </c>
      <c r="O12" s="130">
        <v>8</v>
      </c>
      <c r="P12" s="130">
        <v>8</v>
      </c>
      <c r="Q12" s="130"/>
      <c r="R12" s="130">
        <v>8</v>
      </c>
      <c r="S12" s="130">
        <v>8</v>
      </c>
      <c r="T12" s="130">
        <v>8</v>
      </c>
      <c r="U12" s="130">
        <v>8</v>
      </c>
      <c r="V12" s="130">
        <v>8</v>
      </c>
      <c r="W12" s="130">
        <v>8</v>
      </c>
      <c r="X12" s="130"/>
      <c r="Y12" s="130">
        <v>8</v>
      </c>
      <c r="Z12" s="130">
        <v>8</v>
      </c>
      <c r="AA12" s="130">
        <v>8</v>
      </c>
      <c r="AB12" s="130">
        <v>8</v>
      </c>
      <c r="AC12" s="130">
        <v>8</v>
      </c>
      <c r="AD12" s="130">
        <v>8</v>
      </c>
      <c r="AE12" s="130"/>
      <c r="AF12" s="130">
        <v>8</v>
      </c>
      <c r="AG12" s="130">
        <v>8</v>
      </c>
      <c r="AH12" s="130">
        <v>8</v>
      </c>
      <c r="AI12" s="130">
        <v>8</v>
      </c>
      <c r="AJ12" s="210"/>
      <c r="AK12" s="245">
        <f>((SUM(F12:AI12))/8)-(SUMIF($F$6:$AI$6,"C.Nhật",F12:AI12)/8)</f>
        <v>26</v>
      </c>
      <c r="AL12" s="245">
        <f>SUM(F13:AI13)/8*1.5</f>
        <v>0</v>
      </c>
      <c r="AM12" s="247">
        <f>SUMIF($F$6:$AI$6,"C.Nhật",$F12:$AI13)/8*2</f>
        <v>0</v>
      </c>
      <c r="AN12" s="241">
        <f>SUM(AK12:AM13)</f>
        <v>26</v>
      </c>
      <c r="AO12" s="243">
        <v>0</v>
      </c>
      <c r="AP12" s="241"/>
      <c r="AQ12" s="241"/>
      <c r="AR12" s="241"/>
      <c r="AS12" s="239"/>
      <c r="AT12" s="205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54" customFormat="1" ht="18" customHeight="1">
      <c r="A13" s="250"/>
      <c r="B13" s="250"/>
      <c r="C13" s="252"/>
      <c r="D13" s="254"/>
      <c r="E13" s="56" t="s">
        <v>29</v>
      </c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  <c r="AH13" s="131"/>
      <c r="AI13" s="131"/>
      <c r="AJ13" s="211"/>
      <c r="AK13" s="246"/>
      <c r="AL13" s="246"/>
      <c r="AM13" s="248"/>
      <c r="AN13" s="242"/>
      <c r="AO13" s="244"/>
      <c r="AP13" s="242"/>
      <c r="AQ13" s="242"/>
      <c r="AR13" s="242"/>
      <c r="AS13" s="240"/>
      <c r="AT13" s="205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54" customFormat="1" ht="18" customHeight="1">
      <c r="A14" s="249">
        <v>2</v>
      </c>
      <c r="B14" s="249" t="s">
        <v>76</v>
      </c>
      <c r="C14" s="251" t="str">
        <f>VLOOKUP(B14,DS,2,0)</f>
        <v>Lý Thanh Hải</v>
      </c>
      <c r="D14" s="253" t="str">
        <f>VLOOKUP(B14,DS,3,0)</f>
        <v>Công Đoạn 1</v>
      </c>
      <c r="E14" s="55" t="s">
        <v>30</v>
      </c>
      <c r="F14" s="130">
        <v>8</v>
      </c>
      <c r="G14" s="130">
        <v>8</v>
      </c>
      <c r="H14" s="130">
        <v>8</v>
      </c>
      <c r="I14" s="130">
        <v>8</v>
      </c>
      <c r="J14" s="130"/>
      <c r="K14" s="130">
        <v>8</v>
      </c>
      <c r="L14" s="130">
        <v>8</v>
      </c>
      <c r="M14" s="130">
        <v>8</v>
      </c>
      <c r="N14" s="130">
        <v>8</v>
      </c>
      <c r="O14" s="130">
        <v>8</v>
      </c>
      <c r="P14" s="130">
        <v>8</v>
      </c>
      <c r="Q14" s="130"/>
      <c r="R14" s="130">
        <v>8</v>
      </c>
      <c r="S14" s="130">
        <v>8</v>
      </c>
      <c r="T14" s="130">
        <v>8</v>
      </c>
      <c r="U14" s="130">
        <v>8</v>
      </c>
      <c r="V14" s="130">
        <v>8</v>
      </c>
      <c r="W14" s="130">
        <v>8</v>
      </c>
      <c r="X14" s="130"/>
      <c r="Y14" s="130">
        <v>8</v>
      </c>
      <c r="Z14" s="130">
        <v>8</v>
      </c>
      <c r="AA14" s="130">
        <v>8</v>
      </c>
      <c r="AB14" s="130">
        <v>8</v>
      </c>
      <c r="AC14" s="130">
        <v>8</v>
      </c>
      <c r="AD14" s="130">
        <v>8</v>
      </c>
      <c r="AE14" s="130"/>
      <c r="AF14" s="130">
        <v>8</v>
      </c>
      <c r="AG14" s="130">
        <v>8</v>
      </c>
      <c r="AH14" s="130">
        <v>8</v>
      </c>
      <c r="AI14" s="130">
        <v>8</v>
      </c>
      <c r="AJ14" s="210"/>
      <c r="AK14" s="245">
        <f>((SUM(F14:AI14))/8)-(SUMIF($F$6:$AI$6,"C.Nhật",F14:AI14)/8)</f>
        <v>26</v>
      </c>
      <c r="AL14" s="245">
        <f>SUM(F15:AI15)/8*1.5</f>
        <v>0</v>
      </c>
      <c r="AM14" s="247">
        <f>SUMIF($F$6:$AI$6,"C.Nhật",$F14:$AI15)/8*2</f>
        <v>0</v>
      </c>
      <c r="AN14" s="241">
        <f t="shared" ref="AN14" si="2">SUM(AK14:AM15)</f>
        <v>26</v>
      </c>
      <c r="AO14" s="243">
        <v>0</v>
      </c>
      <c r="AP14" s="241"/>
      <c r="AQ14" s="241"/>
      <c r="AR14" s="241"/>
      <c r="AS14" s="239"/>
      <c r="AT14" s="21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4" customFormat="1" ht="18" customHeight="1">
      <c r="A15" s="250"/>
      <c r="B15" s="250"/>
      <c r="C15" s="252"/>
      <c r="D15" s="254"/>
      <c r="E15" s="56" t="s">
        <v>29</v>
      </c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211"/>
      <c r="AK15" s="246"/>
      <c r="AL15" s="246"/>
      <c r="AM15" s="248"/>
      <c r="AN15" s="242"/>
      <c r="AO15" s="244"/>
      <c r="AP15" s="242"/>
      <c r="AQ15" s="242"/>
      <c r="AR15" s="242"/>
      <c r="AS15" s="240"/>
      <c r="AT15" s="21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4" customFormat="1" ht="18" customHeight="1">
      <c r="A16" s="249">
        <v>3</v>
      </c>
      <c r="B16" s="249" t="s">
        <v>77</v>
      </c>
      <c r="C16" s="251" t="str">
        <f>VLOOKUP(B16,DS,2,0)</f>
        <v>Cao Minh Chí</v>
      </c>
      <c r="D16" s="253" t="str">
        <f>VLOOKUP(B16,DS,3,0)</f>
        <v>Công Đoạn 2</v>
      </c>
      <c r="E16" s="55" t="s">
        <v>30</v>
      </c>
      <c r="F16" s="130">
        <v>8</v>
      </c>
      <c r="G16" s="130">
        <v>8</v>
      </c>
      <c r="H16" s="130">
        <v>8</v>
      </c>
      <c r="I16" s="130">
        <v>8</v>
      </c>
      <c r="J16" s="130"/>
      <c r="K16" s="130">
        <v>8</v>
      </c>
      <c r="L16" s="130">
        <v>8</v>
      </c>
      <c r="M16" s="130">
        <v>8</v>
      </c>
      <c r="N16" s="130">
        <v>8</v>
      </c>
      <c r="O16" s="130">
        <v>8</v>
      </c>
      <c r="P16" s="130">
        <v>8</v>
      </c>
      <c r="Q16" s="130"/>
      <c r="R16" s="130">
        <v>8</v>
      </c>
      <c r="S16" s="130">
        <v>8</v>
      </c>
      <c r="T16" s="130">
        <v>8</v>
      </c>
      <c r="U16" s="130">
        <v>8</v>
      </c>
      <c r="V16" s="130">
        <v>8</v>
      </c>
      <c r="W16" s="130">
        <v>8</v>
      </c>
      <c r="X16" s="130"/>
      <c r="Y16" s="130">
        <v>8</v>
      </c>
      <c r="Z16" s="130">
        <v>8</v>
      </c>
      <c r="AA16" s="130">
        <v>8</v>
      </c>
      <c r="AB16" s="130">
        <v>8</v>
      </c>
      <c r="AC16" s="130">
        <v>8</v>
      </c>
      <c r="AD16" s="130">
        <v>8</v>
      </c>
      <c r="AE16" s="130"/>
      <c r="AF16" s="130">
        <v>8</v>
      </c>
      <c r="AG16" s="130">
        <v>8</v>
      </c>
      <c r="AH16" s="130">
        <v>8</v>
      </c>
      <c r="AI16" s="130">
        <v>8</v>
      </c>
      <c r="AJ16" s="210"/>
      <c r="AK16" s="245">
        <f>((SUM(F16:AI16))/8)-(SUMIF($F$6:$AI$6,"C.Nhật",F16:AI16)/8)</f>
        <v>26</v>
      </c>
      <c r="AL16" s="245">
        <f>SUM(F17:AI17)/8*1.5</f>
        <v>0</v>
      </c>
      <c r="AM16" s="247">
        <f>SUMIF($F$6:$AI$6,"C.Nhật",$F16:$AI17)/8*2</f>
        <v>0</v>
      </c>
      <c r="AN16" s="241">
        <f t="shared" ref="AN16" si="3">SUM(AK16:AM17)</f>
        <v>26</v>
      </c>
      <c r="AO16" s="243">
        <v>0</v>
      </c>
      <c r="AP16" s="241"/>
      <c r="AQ16" s="241"/>
      <c r="AR16" s="241"/>
      <c r="AS16" s="239"/>
      <c r="AT16" s="21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54" customFormat="1" ht="18" customHeight="1">
      <c r="A17" s="250"/>
      <c r="B17" s="250"/>
      <c r="C17" s="252"/>
      <c r="D17" s="254"/>
      <c r="E17" s="56" t="s">
        <v>29</v>
      </c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211"/>
      <c r="AK17" s="246"/>
      <c r="AL17" s="246"/>
      <c r="AM17" s="248"/>
      <c r="AN17" s="242"/>
      <c r="AO17" s="244"/>
      <c r="AP17" s="242"/>
      <c r="AQ17" s="242"/>
      <c r="AR17" s="242"/>
      <c r="AS17" s="240"/>
      <c r="AT17" s="21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57" customFormat="1" ht="12.75">
      <c r="A18" s="14"/>
      <c r="B18" s="58"/>
      <c r="C18" s="4"/>
      <c r="D18" s="100"/>
      <c r="E18" s="4"/>
      <c r="F18" s="62"/>
      <c r="G18" s="62"/>
      <c r="H18" s="59"/>
      <c r="I18" s="59"/>
      <c r="J18" s="107"/>
      <c r="K18" s="62"/>
      <c r="L18" s="59"/>
      <c r="M18" s="62"/>
      <c r="N18" s="62"/>
      <c r="O18" s="62"/>
      <c r="P18" s="62"/>
      <c r="Q18" s="59"/>
      <c r="R18" s="62"/>
      <c r="S18" s="62"/>
      <c r="T18" s="107"/>
      <c r="U18" s="62"/>
      <c r="V18" s="62"/>
      <c r="W18" s="62"/>
      <c r="X18" s="58"/>
      <c r="Y18" s="62"/>
      <c r="Z18" s="62"/>
      <c r="AA18" s="62"/>
      <c r="AB18" s="62"/>
      <c r="AC18" s="62"/>
      <c r="AD18" s="59"/>
      <c r="AE18" s="62"/>
      <c r="AF18" s="62"/>
      <c r="AG18" s="62"/>
      <c r="AH18" s="62"/>
      <c r="AI18" s="62"/>
      <c r="AJ18" s="62"/>
      <c r="AK18" s="4"/>
      <c r="AL18" s="4"/>
      <c r="AM18" s="85"/>
      <c r="AN18" s="61"/>
      <c r="AO18" s="61"/>
      <c r="AP18" s="61"/>
      <c r="AQ18" s="61"/>
      <c r="AR18" s="61"/>
      <c r="AS18" s="4"/>
      <c r="AT18" s="91"/>
    </row>
    <row r="19" spans="1:91" s="57" customFormat="1" ht="12.75">
      <c r="A19" s="14"/>
      <c r="B19" s="58"/>
      <c r="C19" s="14" t="s">
        <v>14</v>
      </c>
      <c r="D19" s="100"/>
      <c r="E19" s="4"/>
      <c r="F19" s="62"/>
      <c r="G19" s="62"/>
      <c r="H19" s="59"/>
      <c r="I19" s="59"/>
      <c r="J19" s="107"/>
      <c r="K19" s="62"/>
      <c r="L19" s="59"/>
      <c r="M19" s="62"/>
      <c r="N19" s="62"/>
      <c r="O19" s="62"/>
      <c r="P19" s="62"/>
      <c r="Q19" s="59"/>
      <c r="R19" s="62"/>
      <c r="S19" s="62"/>
      <c r="T19" s="107"/>
      <c r="U19" s="62"/>
      <c r="V19" s="62"/>
      <c r="W19" s="62"/>
      <c r="X19" s="58"/>
      <c r="Y19" s="62"/>
      <c r="Z19" s="62"/>
      <c r="AA19" s="62"/>
      <c r="AB19" s="62"/>
      <c r="AC19" s="62"/>
      <c r="AD19" s="59"/>
      <c r="AE19" s="62"/>
      <c r="AF19" s="62"/>
      <c r="AG19" s="62"/>
      <c r="AH19" s="62"/>
      <c r="AI19" s="62"/>
      <c r="AJ19" s="62"/>
      <c r="AK19" s="4"/>
      <c r="AL19" s="4"/>
      <c r="AM19" s="85"/>
      <c r="AN19" s="61"/>
      <c r="AO19" s="61"/>
      <c r="AP19" s="61"/>
      <c r="AQ19" s="61"/>
      <c r="AR19" s="61"/>
      <c r="AS19" s="4"/>
      <c r="AT19" s="91"/>
    </row>
    <row r="20" spans="1:91" s="57" customFormat="1" ht="12.75">
      <c r="A20" s="12"/>
      <c r="B20" s="12"/>
      <c r="C20" s="4"/>
      <c r="D20" s="100"/>
      <c r="E20" s="4"/>
      <c r="F20" s="62"/>
      <c r="G20" s="62"/>
      <c r="H20" s="108"/>
      <c r="I20" s="108"/>
      <c r="J20" s="108"/>
      <c r="K20" s="62"/>
      <c r="L20" s="108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108"/>
      <c r="AE20" s="62"/>
      <c r="AF20" s="62"/>
      <c r="AG20" s="62"/>
      <c r="AH20" s="62"/>
      <c r="AI20" s="62"/>
      <c r="AJ20" s="62"/>
      <c r="AK20" s="4"/>
      <c r="AL20" s="4"/>
      <c r="AM20" s="85"/>
      <c r="AN20" s="63"/>
      <c r="AO20" s="63"/>
      <c r="AP20" s="63"/>
      <c r="AQ20" s="63"/>
      <c r="AR20" s="63"/>
      <c r="AS20" s="4"/>
      <c r="AT20" s="91"/>
    </row>
    <row r="21" spans="1:91" s="60" customFormat="1" ht="15" customHeight="1">
      <c r="A21" s="12"/>
      <c r="B21" s="12"/>
      <c r="C21" s="4"/>
      <c r="D21" s="100"/>
      <c r="E21" s="4"/>
      <c r="F21" s="62"/>
      <c r="G21" s="62"/>
      <c r="H21" s="108"/>
      <c r="I21" s="108"/>
      <c r="J21" s="108"/>
      <c r="K21" s="62"/>
      <c r="L21" s="108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108"/>
      <c r="AE21" s="62"/>
      <c r="AF21" s="62"/>
      <c r="AG21" s="62"/>
      <c r="AH21" s="62"/>
      <c r="AI21" s="62"/>
      <c r="AJ21" s="62"/>
      <c r="AK21" s="4"/>
      <c r="AL21" s="4"/>
      <c r="AM21" s="85"/>
      <c r="AN21" s="63"/>
      <c r="AO21" s="63"/>
      <c r="AP21" s="63"/>
      <c r="AQ21" s="63"/>
      <c r="AR21" s="63"/>
      <c r="AS21" s="4"/>
      <c r="AT21" s="4"/>
    </row>
    <row r="22" spans="1:91" s="60" customFormat="1" ht="11.25">
      <c r="A22" s="12"/>
      <c r="B22" s="12"/>
      <c r="C22" s="4"/>
      <c r="D22" s="100"/>
      <c r="E22" s="4"/>
      <c r="F22" s="62"/>
      <c r="G22" s="62"/>
      <c r="H22" s="108"/>
      <c r="I22" s="108"/>
      <c r="J22" s="108"/>
      <c r="K22" s="62"/>
      <c r="L22" s="108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108"/>
      <c r="AE22" s="62"/>
      <c r="AF22" s="62"/>
      <c r="AG22" s="62"/>
      <c r="AH22" s="62"/>
      <c r="AI22" s="62"/>
      <c r="AJ22" s="62"/>
      <c r="AK22" s="4"/>
      <c r="AL22" s="4"/>
      <c r="AM22" s="85"/>
      <c r="AN22" s="63"/>
      <c r="AO22" s="63"/>
      <c r="AP22" s="63"/>
      <c r="AQ22" s="63"/>
      <c r="AR22" s="63"/>
      <c r="AS22" s="4"/>
      <c r="AT22" s="4"/>
    </row>
    <row r="23" spans="1:91" s="60" customFormat="1" ht="11.25">
      <c r="A23" s="12"/>
      <c r="B23" s="12"/>
      <c r="C23" s="4"/>
      <c r="D23" s="100"/>
      <c r="E23" s="4"/>
      <c r="F23" s="62"/>
      <c r="G23" s="62"/>
      <c r="H23" s="108"/>
      <c r="I23" s="108"/>
      <c r="J23" s="108"/>
      <c r="K23" s="62"/>
      <c r="L23" s="108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108"/>
      <c r="AE23" s="62"/>
      <c r="AF23" s="62"/>
      <c r="AG23" s="62"/>
      <c r="AH23" s="62"/>
      <c r="AI23" s="62"/>
      <c r="AJ23" s="62"/>
      <c r="AK23" s="4"/>
      <c r="AL23" s="4"/>
      <c r="AM23" s="85"/>
      <c r="AN23" s="63"/>
      <c r="AO23" s="63"/>
      <c r="AP23" s="63"/>
      <c r="AQ23" s="63"/>
      <c r="AR23" s="63"/>
      <c r="AS23" s="4"/>
      <c r="AT23" s="4"/>
    </row>
    <row r="24" spans="1:91" s="60" customFormat="1" ht="11.25">
      <c r="A24" s="10"/>
      <c r="B24" s="10"/>
      <c r="C24" s="14"/>
      <c r="D24" s="101"/>
      <c r="E24" s="64"/>
      <c r="F24" s="107"/>
      <c r="G24" s="109"/>
      <c r="H24" s="59"/>
      <c r="I24" s="59"/>
      <c r="J24" s="59"/>
      <c r="K24" s="109"/>
      <c r="L24" s="59"/>
      <c r="M24" s="109"/>
      <c r="N24" s="109"/>
      <c r="O24" s="109"/>
      <c r="P24" s="109"/>
      <c r="Q24" s="59"/>
      <c r="R24" s="107"/>
      <c r="S24" s="109"/>
      <c r="T24" s="109"/>
      <c r="U24" s="59"/>
      <c r="V24" s="109"/>
      <c r="W24" s="109"/>
      <c r="X24" s="59"/>
      <c r="Y24" s="109"/>
      <c r="Z24" s="109"/>
      <c r="AA24" s="109"/>
      <c r="AB24" s="109"/>
      <c r="AC24" s="109"/>
      <c r="AD24" s="59"/>
      <c r="AE24" s="109"/>
      <c r="AF24" s="109"/>
      <c r="AG24" s="109"/>
      <c r="AH24" s="109"/>
      <c r="AI24" s="109"/>
      <c r="AJ24" s="109"/>
      <c r="AK24" s="64"/>
      <c r="AM24" s="86"/>
      <c r="AN24" s="10"/>
      <c r="AO24" s="10"/>
      <c r="AP24" s="10"/>
      <c r="AQ24" s="10"/>
      <c r="AR24" s="10"/>
      <c r="AS24" s="14"/>
      <c r="AT24" s="4"/>
    </row>
    <row r="25" spans="1:91" s="60" customFormat="1" ht="12.75">
      <c r="A25" s="2"/>
      <c r="B25" s="2" t="s">
        <v>0</v>
      </c>
      <c r="C25" s="2"/>
      <c r="D25" s="198"/>
      <c r="E25" s="2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1"/>
      <c r="AI25" s="111"/>
      <c r="AJ25" s="111"/>
      <c r="AK25" s="2"/>
      <c r="AL25" s="2"/>
      <c r="AM25" s="87"/>
      <c r="AN25" s="2"/>
      <c r="AO25" s="2"/>
      <c r="AP25" s="2"/>
      <c r="AQ25" s="2"/>
      <c r="AR25" s="2"/>
      <c r="AS25" s="2"/>
      <c r="AT25" s="4"/>
    </row>
    <row r="26" spans="1:91" s="60" customFormat="1" ht="12.75">
      <c r="A26" s="2"/>
      <c r="B26" s="2"/>
      <c r="C26" s="2" t="s">
        <v>40</v>
      </c>
      <c r="D26" s="198"/>
      <c r="E26" s="2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1"/>
      <c r="AI26" s="111"/>
      <c r="AJ26" s="111"/>
      <c r="AK26" s="2"/>
      <c r="AL26" s="2"/>
      <c r="AM26" s="87"/>
      <c r="AN26" s="2"/>
      <c r="AO26" s="2"/>
      <c r="AP26" s="2"/>
      <c r="AQ26" s="2"/>
      <c r="AR26" s="2"/>
      <c r="AS26" s="2"/>
      <c r="AT26" s="14"/>
    </row>
    <row r="27" spans="1:91" ht="15" customHeight="1">
      <c r="C27" s="2" t="s">
        <v>41</v>
      </c>
    </row>
    <row r="28" spans="1:91" ht="15" customHeight="1">
      <c r="C28" s="2" t="s">
        <v>42</v>
      </c>
    </row>
    <row r="29" spans="1:91" s="198" customFormat="1" ht="15" customHeight="1">
      <c r="A29" s="2"/>
      <c r="B29" s="2"/>
      <c r="C29" s="2" t="s">
        <v>43</v>
      </c>
      <c r="E29" s="2"/>
      <c r="F29" s="110"/>
      <c r="G29" s="110"/>
      <c r="H29" s="110"/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0"/>
      <c r="AD29" s="110"/>
      <c r="AE29" s="110"/>
      <c r="AF29" s="110"/>
      <c r="AG29" s="110"/>
      <c r="AH29" s="111"/>
      <c r="AI29" s="111"/>
      <c r="AJ29" s="111"/>
      <c r="AK29" s="2"/>
      <c r="AL29" s="2"/>
      <c r="AM29" s="87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98" customFormat="1" ht="15" customHeight="1">
      <c r="A30" s="2"/>
      <c r="B30" s="2"/>
      <c r="C30" s="2" t="s">
        <v>44</v>
      </c>
      <c r="E30" s="2"/>
      <c r="F30" s="110"/>
      <c r="G30" s="110"/>
      <c r="H30" s="110"/>
      <c r="I30" s="110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  <c r="AA30" s="110"/>
      <c r="AB30" s="110"/>
      <c r="AC30" s="110"/>
      <c r="AD30" s="110"/>
      <c r="AE30" s="110"/>
      <c r="AF30" s="110"/>
      <c r="AG30" s="110"/>
      <c r="AH30" s="111"/>
      <c r="AI30" s="111"/>
      <c r="AJ30" s="111"/>
      <c r="AK30" s="2"/>
      <c r="AL30" s="2"/>
      <c r="AM30" s="87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98" customFormat="1" ht="15" customHeight="1">
      <c r="A31" s="2"/>
      <c r="B31" s="2"/>
      <c r="C31" s="2" t="s">
        <v>45</v>
      </c>
      <c r="E31" s="2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  <c r="AE31" s="110"/>
      <c r="AF31" s="110"/>
      <c r="AG31" s="110"/>
      <c r="AH31" s="111"/>
      <c r="AI31" s="111"/>
      <c r="AJ31" s="111"/>
      <c r="AK31" s="2"/>
      <c r="AL31" s="2"/>
      <c r="AM31" s="87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98" customFormat="1" ht="15" customHeight="1">
      <c r="A32" s="2"/>
      <c r="B32" s="2"/>
      <c r="C32" s="2" t="s">
        <v>46</v>
      </c>
      <c r="E32" s="2"/>
      <c r="F32" s="110"/>
      <c r="G32" s="110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0"/>
      <c r="AG32" s="110"/>
      <c r="AH32" s="111"/>
      <c r="AI32" s="111"/>
      <c r="AJ32" s="111"/>
      <c r="AK32" s="2"/>
      <c r="AL32" s="2"/>
      <c r="AM32" s="87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98" customFormat="1" ht="15" customHeight="1">
      <c r="A33" s="2"/>
      <c r="B33" s="2"/>
      <c r="C33" s="2" t="s">
        <v>47</v>
      </c>
      <c r="E33" s="2"/>
      <c r="F33" s="110"/>
      <c r="G33" s="110"/>
      <c r="H33" s="110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  <c r="AA33" s="110"/>
      <c r="AB33" s="110"/>
      <c r="AC33" s="110"/>
      <c r="AD33" s="110"/>
      <c r="AE33" s="110"/>
      <c r="AF33" s="110"/>
      <c r="AG33" s="110"/>
      <c r="AH33" s="111"/>
      <c r="AI33" s="111"/>
      <c r="AJ33" s="111"/>
      <c r="AK33" s="2"/>
      <c r="AL33" s="2"/>
      <c r="AM33" s="87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98" customFormat="1" ht="15" customHeight="1">
      <c r="A34" s="2"/>
      <c r="B34" s="2"/>
      <c r="C34" s="2" t="s">
        <v>48</v>
      </c>
      <c r="E34" s="2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1"/>
      <c r="AI34" s="111"/>
      <c r="AJ34" s="111"/>
      <c r="AK34" s="2"/>
      <c r="AL34" s="2"/>
      <c r="AM34" s="87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20:J23 Q18:Q19" name="Range1_1_1_1"/>
    <protectedRange password="CC78" sqref="J24" name="Range1_3_1_1"/>
    <protectedRange password="CC78" sqref="A12:A17" name="Range1_1_2"/>
    <protectedRange password="CC78" sqref="A12:A17 C12:E17" name="Range1_6_2"/>
    <protectedRange password="CC78" sqref="B12:B17" name="Range1_4_2"/>
  </protectedRanges>
  <mergeCells count="66">
    <mergeCell ref="AP14:AP15"/>
    <mergeCell ref="AQ14:AQ15"/>
    <mergeCell ref="AR14:AR15"/>
    <mergeCell ref="AS14:AS15"/>
    <mergeCell ref="D14:D15"/>
    <mergeCell ref="AK14:AK15"/>
    <mergeCell ref="AL14:AL15"/>
    <mergeCell ref="AM14:AM15"/>
    <mergeCell ref="AN14:AN15"/>
    <mergeCell ref="A16:A17"/>
    <mergeCell ref="B16:B17"/>
    <mergeCell ref="C16:C17"/>
    <mergeCell ref="D16:D17"/>
    <mergeCell ref="AK16:AK17"/>
    <mergeCell ref="AQ16:AQ17"/>
    <mergeCell ref="AR16:AR17"/>
    <mergeCell ref="AS16:AS17"/>
    <mergeCell ref="AL12:AL13"/>
    <mergeCell ref="AM12:AM13"/>
    <mergeCell ref="AN12:AN13"/>
    <mergeCell ref="AO12:AO13"/>
    <mergeCell ref="AP12:AP13"/>
    <mergeCell ref="AR12:AR13"/>
    <mergeCell ref="AS12:AS13"/>
    <mergeCell ref="AL16:AL17"/>
    <mergeCell ref="AM16:AM17"/>
    <mergeCell ref="AN16:AN17"/>
    <mergeCell ref="AO16:AO17"/>
    <mergeCell ref="AP16:AP17"/>
    <mergeCell ref="AO14:AO15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D12:D13"/>
    <mergeCell ref="AK12:AK13"/>
    <mergeCell ref="AQ12:AQ13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12:A13"/>
    <mergeCell ref="B12:B13"/>
    <mergeCell ref="C12:C13"/>
    <mergeCell ref="A14:A15"/>
    <mergeCell ref="B14:B15"/>
    <mergeCell ref="C14:C15"/>
  </mergeCells>
  <conditionalFormatting sqref="F5:AJ6 F9:AJ10 F12:AI17">
    <cfRule type="expression" dxfId="8" priority="66" stopIfTrue="1">
      <formula>IF(WEEKDAY(F$5)=1,TRUE,FALSE)</formula>
    </cfRule>
  </conditionalFormatting>
  <conditionalFormatting sqref="AJ12:AJ13">
    <cfRule type="expression" dxfId="7" priority="17" stopIfTrue="1">
      <formula>IF(WEEKDAY(AJ$5)=1,TRUE,FALSE)</formula>
    </cfRule>
  </conditionalFormatting>
  <conditionalFormatting sqref="AJ16:AJ17">
    <cfRule type="expression" dxfId="6" priority="9" stopIfTrue="1">
      <formula>IF(WEEKDAY(AJ$5)=1,TRUE,FALSE)</formula>
    </cfRule>
  </conditionalFormatting>
  <conditionalFormatting sqref="AJ16:AJ17">
    <cfRule type="expression" dxfId="5" priority="8" stopIfTrue="1">
      <formula>IF(WEEKDAY(AJ$5)=1,TRUE,FALSE)</formula>
    </cfRule>
  </conditionalFormatting>
  <conditionalFormatting sqref="AJ14:AJ15">
    <cfRule type="expression" dxfId="4" priority="5" stopIfTrue="1">
      <formula>IF(WEEKDAY(AJ$5)=1,TRUE,FALSE)</formula>
    </cfRule>
  </conditionalFormatting>
  <conditionalFormatting sqref="AJ14:AJ15">
    <cfRule type="expression" dxfId="3" priority="4" stopIfTrue="1">
      <formula>IF(WEEKDAY(AJ$5)=1,TRUE,FALSE)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29"/>
  <sheetViews>
    <sheetView zoomScaleNormal="70" workbookViewId="0">
      <pane xSplit="3" ySplit="8" topLeftCell="G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B15" sqref="B15:B16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78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26"/>
      <c r="B1" s="201"/>
      <c r="C1" s="201"/>
      <c r="D1" s="273" t="str">
        <f>"BẢNG THANH TOÁN LƯƠNG THÁNG"&amp;" "&amp;TEXT($E$4,"mm")&amp;" / "&amp;TEXT($E$4,"yyyy")</f>
        <v>BẢNG THANH TOÁN LƯƠNG THÁNG 11 / 2017</v>
      </c>
      <c r="E1" s="273"/>
      <c r="F1" s="273"/>
      <c r="G1" s="273"/>
      <c r="H1" s="273"/>
      <c r="I1" s="273"/>
      <c r="J1" s="273"/>
      <c r="K1" s="273"/>
      <c r="L1" s="273"/>
      <c r="M1" s="273"/>
      <c r="N1" s="273"/>
      <c r="O1" s="273"/>
      <c r="P1" s="273"/>
      <c r="Q1" s="274"/>
      <c r="R1" s="275" t="s">
        <v>79</v>
      </c>
      <c r="S1" s="276"/>
      <c r="T1" s="277"/>
      <c r="U1" s="117" t="s">
        <v>51</v>
      </c>
      <c r="V1" s="97" t="s">
        <v>33</v>
      </c>
      <c r="W1" s="70"/>
      <c r="X1" s="70"/>
      <c r="Y1" s="5"/>
      <c r="Z1" s="5"/>
    </row>
    <row r="2" spans="1:31" s="4" customFormat="1" ht="15" customHeight="1">
      <c r="A2" s="126"/>
      <c r="B2" s="201"/>
      <c r="C2" s="201"/>
      <c r="D2" s="201"/>
      <c r="E2" s="68"/>
      <c r="F2" s="201"/>
      <c r="G2" s="201"/>
      <c r="H2" s="201"/>
      <c r="I2" s="201"/>
      <c r="J2" s="69"/>
      <c r="K2" s="201"/>
      <c r="L2" s="201"/>
      <c r="M2" s="201"/>
      <c r="N2" s="201"/>
      <c r="O2" s="201"/>
      <c r="P2" s="201"/>
      <c r="Q2" s="201"/>
      <c r="R2" s="201"/>
      <c r="S2" s="201"/>
      <c r="T2" s="46"/>
      <c r="U2" s="67">
        <f>MAX(F10:F18)</f>
        <v>26</v>
      </c>
      <c r="V2" s="98">
        <v>31</v>
      </c>
      <c r="W2" s="70"/>
      <c r="X2" s="70"/>
      <c r="Y2" s="5"/>
      <c r="Z2" s="5"/>
    </row>
    <row r="3" spans="1:31" s="4" customFormat="1" ht="15" customHeight="1">
      <c r="A3" s="126"/>
      <c r="B3" s="201"/>
      <c r="C3" s="201"/>
      <c r="D3" s="201"/>
      <c r="E3" s="68"/>
      <c r="F3" s="201"/>
      <c r="G3" s="201"/>
      <c r="H3" s="201"/>
      <c r="I3" s="201"/>
      <c r="J3" s="69"/>
      <c r="K3" s="201"/>
      <c r="L3" s="201"/>
      <c r="M3" s="201"/>
      <c r="N3" s="201"/>
      <c r="O3" s="201"/>
      <c r="P3" s="201"/>
      <c r="Q3" s="201"/>
      <c r="R3" s="201"/>
      <c r="S3" s="201"/>
      <c r="T3" s="46"/>
      <c r="U3" s="118"/>
      <c r="V3" s="119"/>
      <c r="W3" s="70"/>
      <c r="X3" s="70"/>
      <c r="Y3" s="5"/>
      <c r="Z3" s="5"/>
    </row>
    <row r="4" spans="1:31" s="92" customFormat="1" ht="14.25" customHeight="1">
      <c r="A4" s="90"/>
      <c r="B4" s="91"/>
      <c r="C4" s="91"/>
      <c r="D4" s="91"/>
      <c r="E4" s="175">
        <f>'CC -11'!$E$4</f>
        <v>43040</v>
      </c>
      <c r="F4" s="91"/>
      <c r="G4" s="91"/>
      <c r="H4" s="91"/>
      <c r="I4" s="91"/>
      <c r="J4" s="91"/>
      <c r="K4" s="91"/>
      <c r="L4" s="91"/>
      <c r="M4" s="91"/>
      <c r="N4" s="148">
        <v>0.08</v>
      </c>
      <c r="O4" s="148">
        <v>1.4999999999999999E-2</v>
      </c>
      <c r="P4" s="148">
        <v>0.01</v>
      </c>
      <c r="Q4" s="91"/>
      <c r="R4" s="91"/>
      <c r="S4" s="91"/>
      <c r="T4" s="91"/>
      <c r="U4" s="91"/>
      <c r="V4" s="93"/>
      <c r="W4" s="93"/>
      <c r="X4" s="93"/>
      <c r="Y4" s="93"/>
      <c r="Z4" s="93"/>
    </row>
    <row r="5" spans="1:31" s="21" customFormat="1" ht="24" customHeight="1">
      <c r="A5" s="278" t="s">
        <v>19</v>
      </c>
      <c r="B5" s="278" t="s">
        <v>20</v>
      </c>
      <c r="C5" s="232" t="s">
        <v>1</v>
      </c>
      <c r="D5" s="232" t="s">
        <v>2</v>
      </c>
      <c r="E5" s="235" t="s">
        <v>49</v>
      </c>
      <c r="F5" s="280" t="s">
        <v>24</v>
      </c>
      <c r="G5" s="281"/>
      <c r="H5" s="281"/>
      <c r="I5" s="281"/>
      <c r="J5" s="281"/>
      <c r="K5" s="282"/>
      <c r="L5" s="269" t="s">
        <v>50</v>
      </c>
      <c r="M5" s="269" t="s">
        <v>5</v>
      </c>
      <c r="N5" s="232" t="s">
        <v>6</v>
      </c>
      <c r="O5" s="232"/>
      <c r="P5" s="232"/>
      <c r="Q5" s="269" t="s">
        <v>7</v>
      </c>
      <c r="R5" s="269" t="s">
        <v>8</v>
      </c>
      <c r="S5" s="269" t="s">
        <v>9</v>
      </c>
      <c r="T5" s="233" t="s">
        <v>10</v>
      </c>
      <c r="U5" s="91"/>
      <c r="V5" s="22"/>
      <c r="W5" s="22"/>
      <c r="X5" s="5"/>
      <c r="Y5" s="5"/>
      <c r="Z5" s="5"/>
      <c r="AA5" s="4"/>
      <c r="AB5" s="4"/>
      <c r="AC5" s="4"/>
      <c r="AD5" s="4"/>
      <c r="AE5" s="4"/>
    </row>
    <row r="6" spans="1:31" s="21" customFormat="1" ht="33.75" customHeight="1">
      <c r="A6" s="279"/>
      <c r="B6" s="279"/>
      <c r="C6" s="232"/>
      <c r="D6" s="232"/>
      <c r="E6" s="235"/>
      <c r="F6" s="280" t="s">
        <v>52</v>
      </c>
      <c r="G6" s="282"/>
      <c r="H6" s="280" t="s">
        <v>71</v>
      </c>
      <c r="I6" s="281"/>
      <c r="J6" s="267" t="s">
        <v>25</v>
      </c>
      <c r="K6" s="269" t="s">
        <v>4</v>
      </c>
      <c r="L6" s="270"/>
      <c r="M6" s="270"/>
      <c r="N6" s="271" t="s">
        <v>12</v>
      </c>
      <c r="O6" s="269" t="s">
        <v>13</v>
      </c>
      <c r="P6" s="269" t="s">
        <v>31</v>
      </c>
      <c r="Q6" s="270"/>
      <c r="R6" s="270"/>
      <c r="S6" s="270"/>
      <c r="T6" s="234"/>
      <c r="U6" s="91"/>
      <c r="V6" s="22"/>
      <c r="W6" s="22"/>
      <c r="X6" s="5"/>
      <c r="Y6" s="5"/>
      <c r="Z6" s="5"/>
      <c r="AA6" s="4"/>
      <c r="AB6" s="4"/>
      <c r="AC6" s="4"/>
      <c r="AD6" s="4"/>
      <c r="AE6" s="4"/>
    </row>
    <row r="7" spans="1:31" s="21" customFormat="1" ht="35.25" customHeight="1">
      <c r="A7" s="279"/>
      <c r="B7" s="279"/>
      <c r="C7" s="269"/>
      <c r="D7" s="269"/>
      <c r="E7" s="235"/>
      <c r="F7" s="202" t="s">
        <v>34</v>
      </c>
      <c r="G7" s="199" t="s">
        <v>18</v>
      </c>
      <c r="H7" s="202" t="s">
        <v>34</v>
      </c>
      <c r="I7" s="115" t="s">
        <v>18</v>
      </c>
      <c r="J7" s="268"/>
      <c r="K7" s="270"/>
      <c r="L7" s="283"/>
      <c r="M7" s="283"/>
      <c r="N7" s="272"/>
      <c r="O7" s="270"/>
      <c r="P7" s="270"/>
      <c r="Q7" s="270"/>
      <c r="R7" s="270"/>
      <c r="S7" s="270"/>
      <c r="T7" s="234"/>
      <c r="U7" s="91"/>
      <c r="V7" s="22"/>
      <c r="W7" s="22"/>
      <c r="X7" s="5"/>
      <c r="Y7" s="5"/>
      <c r="Z7" s="5"/>
      <c r="AA7" s="4"/>
      <c r="AB7" s="4"/>
      <c r="AC7" s="4"/>
      <c r="AD7" s="4"/>
      <c r="AE7" s="4"/>
    </row>
    <row r="8" spans="1:31" s="72" customFormat="1" ht="12.75" customHeight="1">
      <c r="A8" s="71">
        <v>1</v>
      </c>
      <c r="B8" s="71">
        <v>1</v>
      </c>
      <c r="C8" s="71">
        <v>2</v>
      </c>
      <c r="D8" s="71">
        <v>3</v>
      </c>
      <c r="E8" s="71">
        <v>4</v>
      </c>
      <c r="F8" s="71">
        <v>5</v>
      </c>
      <c r="G8" s="71">
        <v>6</v>
      </c>
      <c r="H8" s="71">
        <v>7</v>
      </c>
      <c r="I8" s="71">
        <v>8</v>
      </c>
      <c r="J8" s="71">
        <v>9</v>
      </c>
      <c r="K8" s="71">
        <v>10</v>
      </c>
      <c r="L8" s="71">
        <v>11</v>
      </c>
      <c r="M8" s="71">
        <v>12</v>
      </c>
      <c r="N8" s="71">
        <v>13</v>
      </c>
      <c r="O8" s="71">
        <v>14</v>
      </c>
      <c r="P8" s="71">
        <v>15</v>
      </c>
      <c r="Q8" s="71">
        <v>16</v>
      </c>
      <c r="R8" s="71">
        <v>17</v>
      </c>
      <c r="S8" s="71">
        <v>18</v>
      </c>
      <c r="T8" s="71">
        <v>19</v>
      </c>
      <c r="U8" s="91"/>
      <c r="V8" s="73"/>
      <c r="W8" s="73"/>
      <c r="X8" s="74"/>
      <c r="Y8" s="74"/>
      <c r="Z8" s="74"/>
      <c r="AA8" s="75"/>
      <c r="AB8" s="75"/>
      <c r="AC8" s="75"/>
      <c r="AD8" s="75"/>
      <c r="AE8" s="75"/>
    </row>
    <row r="9" spans="1:31" s="72" customFormat="1" ht="24" customHeight="1">
      <c r="A9" s="174" t="s">
        <v>68</v>
      </c>
      <c r="B9" s="173" t="s">
        <v>80</v>
      </c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2"/>
      <c r="Q9" s="172"/>
      <c r="R9" s="172"/>
      <c r="S9" s="172"/>
      <c r="T9" s="172"/>
      <c r="U9" s="91"/>
      <c r="V9" s="73"/>
      <c r="W9" s="73"/>
      <c r="X9" s="74"/>
      <c r="Y9" s="74"/>
      <c r="Z9" s="74"/>
      <c r="AA9" s="75"/>
      <c r="AB9" s="75"/>
      <c r="AC9" s="75"/>
      <c r="AD9" s="75"/>
      <c r="AE9" s="75"/>
    </row>
    <row r="10" spans="1:31" s="29" customFormat="1" ht="24" customHeight="1">
      <c r="A10" s="31">
        <v>1</v>
      </c>
      <c r="B10" s="128" t="s">
        <v>74</v>
      </c>
      <c r="C10" s="76" t="str">
        <f t="shared" ref="C10" si="0">VLOOKUP(B10,DS,2,0)</f>
        <v>Nguyễn Thị Kim Quyên</v>
      </c>
      <c r="D10" s="103" t="str">
        <f t="shared" ref="D10" si="1">VLOOKUP(B10,DS,3,0)</f>
        <v>Văn Phòng</v>
      </c>
      <c r="E10" s="77">
        <f t="shared" ref="E10" si="2">VLOOKUP(B10,DS,4,0)</f>
        <v>4000000</v>
      </c>
      <c r="F10" s="79">
        <f>VLOOKUP(B10,'CC -11'!$B$8:$AS$17,36,0)</f>
        <v>26</v>
      </c>
      <c r="G10" s="132">
        <f>ROUND(E10/$U$2*F10,0)</f>
        <v>4000000</v>
      </c>
      <c r="H10" s="79">
        <f>(VLOOKUP(B10,'CC -11'!$B$8:$AS$17,37,0)+VLOOKUP(B10,'CC -11'!$B$8:$AS$17,38,0))</f>
        <v>0</v>
      </c>
      <c r="I10" s="132">
        <f t="shared" ref="I10" si="3">ROUND(E10/$U$2*H10,0)</f>
        <v>0</v>
      </c>
      <c r="J10" s="80">
        <f t="shared" ref="J10" si="4">F10+H10</f>
        <v>26</v>
      </c>
      <c r="K10" s="32">
        <f>G10+I10</f>
        <v>4000000</v>
      </c>
      <c r="L10" s="77">
        <f t="shared" ref="L10" si="5">+F10*15000</f>
        <v>390000</v>
      </c>
      <c r="M10" s="33">
        <f t="shared" ref="M10" si="6">K10+L10</f>
        <v>4390000</v>
      </c>
      <c r="N10" s="33">
        <f>IF(VLOOKUP($B10,DS,29,0)="x",$E10*N$4,0)</f>
        <v>0</v>
      </c>
      <c r="O10" s="33">
        <f>IF(VLOOKUP($B10,DS,29,0)="x",$E10*O$4,0)</f>
        <v>0</v>
      </c>
      <c r="P10" s="33">
        <f>IF(VLOOKUP($B10,DS,29,0)="x",$E10*P$4,0)</f>
        <v>0</v>
      </c>
      <c r="Q10" s="32">
        <f t="shared" ref="Q10" si="7">M10-SUM(N10:P10)</f>
        <v>4390000</v>
      </c>
      <c r="R10" s="32">
        <f>VLOOKUP(B10,DS,23,0)</f>
        <v>0</v>
      </c>
      <c r="S10" s="38">
        <f t="shared" ref="S10" si="8">Q10-R10</f>
        <v>4390000</v>
      </c>
      <c r="T10" s="32"/>
      <c r="U10" s="91"/>
      <c r="V10" s="30"/>
      <c r="W10" s="22"/>
      <c r="X10" s="5"/>
      <c r="Y10" s="5"/>
      <c r="Z10" s="5"/>
      <c r="AA10" s="4"/>
      <c r="AB10" s="4"/>
      <c r="AC10" s="4"/>
      <c r="AD10" s="4"/>
      <c r="AE10" s="4"/>
    </row>
    <row r="11" spans="1:31" s="29" customFormat="1" ht="24" customHeight="1">
      <c r="A11" s="187"/>
      <c r="B11" s="188"/>
      <c r="C11" s="189"/>
      <c r="D11" s="190"/>
      <c r="E11" s="191"/>
      <c r="F11" s="192"/>
      <c r="G11" s="193"/>
      <c r="H11" s="192"/>
      <c r="I11" s="193"/>
      <c r="J11" s="194"/>
      <c r="K11" s="195"/>
      <c r="L11" s="191"/>
      <c r="M11" s="196"/>
      <c r="N11" s="196"/>
      <c r="O11" s="196"/>
      <c r="P11" s="196"/>
      <c r="Q11" s="195"/>
      <c r="R11" s="195"/>
      <c r="S11" s="197"/>
      <c r="T11" s="195"/>
      <c r="U11" s="91"/>
      <c r="V11" s="30"/>
      <c r="W11" s="22"/>
      <c r="X11" s="5"/>
      <c r="Y11" s="5"/>
      <c r="Z11" s="5"/>
      <c r="AA11" s="4"/>
      <c r="AB11" s="4"/>
      <c r="AC11" s="4"/>
      <c r="AD11" s="4"/>
      <c r="AE11" s="4"/>
    </row>
    <row r="12" spans="1:31" s="25" customFormat="1" ht="21" customHeight="1">
      <c r="A12" s="221" t="s">
        <v>23</v>
      </c>
      <c r="B12" s="222"/>
      <c r="C12" s="222"/>
      <c r="D12" s="223"/>
      <c r="E12" s="127">
        <f>SUM(E9:E11)</f>
        <v>4000000</v>
      </c>
      <c r="F12" s="127"/>
      <c r="G12" s="127">
        <f>SUM(G9:G11)</f>
        <v>4000000</v>
      </c>
      <c r="H12" s="127"/>
      <c r="I12" s="127">
        <f>SUM(I9:I11)</f>
        <v>0</v>
      </c>
      <c r="J12" s="127"/>
      <c r="K12" s="127">
        <f t="shared" ref="K12:S12" si="9">SUM(K9:K11)</f>
        <v>4000000</v>
      </c>
      <c r="L12" s="127">
        <f t="shared" si="9"/>
        <v>390000</v>
      </c>
      <c r="M12" s="127">
        <f t="shared" si="9"/>
        <v>4390000</v>
      </c>
      <c r="N12" s="127">
        <f t="shared" si="9"/>
        <v>0</v>
      </c>
      <c r="O12" s="127">
        <f t="shared" si="9"/>
        <v>0</v>
      </c>
      <c r="P12" s="127">
        <f t="shared" si="9"/>
        <v>0</v>
      </c>
      <c r="Q12" s="127">
        <f t="shared" si="9"/>
        <v>4390000</v>
      </c>
      <c r="R12" s="127">
        <f t="shared" si="9"/>
        <v>0</v>
      </c>
      <c r="S12" s="127">
        <f t="shared" si="9"/>
        <v>4390000</v>
      </c>
      <c r="T12" s="20"/>
      <c r="U12" s="91"/>
      <c r="V12" s="26"/>
      <c r="W12" s="26"/>
      <c r="X12" s="26"/>
      <c r="Y12" s="26"/>
      <c r="Z12" s="26"/>
    </row>
    <row r="13" spans="1:31" s="72" customFormat="1" ht="24" customHeight="1">
      <c r="A13" s="174" t="s">
        <v>69</v>
      </c>
      <c r="B13" s="173" t="s">
        <v>70</v>
      </c>
      <c r="C13" s="172"/>
      <c r="D13" s="172"/>
      <c r="E13" s="172"/>
      <c r="F13" s="172"/>
      <c r="G13" s="172"/>
      <c r="H13" s="172"/>
      <c r="I13" s="172"/>
      <c r="J13" s="172"/>
      <c r="K13" s="172"/>
      <c r="L13" s="172"/>
      <c r="M13" s="172"/>
      <c r="N13" s="172"/>
      <c r="O13" s="172"/>
      <c r="P13" s="172"/>
      <c r="Q13" s="172"/>
      <c r="R13" s="172"/>
      <c r="S13" s="172"/>
      <c r="T13" s="172"/>
      <c r="U13" s="91"/>
      <c r="V13" s="73"/>
      <c r="W13" s="73"/>
      <c r="X13" s="74"/>
      <c r="Y13" s="74"/>
      <c r="Z13" s="74"/>
      <c r="AA13" s="75"/>
      <c r="AB13" s="75"/>
      <c r="AC13" s="75"/>
      <c r="AD13" s="75"/>
      <c r="AE13" s="75"/>
    </row>
    <row r="14" spans="1:31" s="29" customFormat="1" ht="24" customHeight="1">
      <c r="A14" s="31">
        <v>1</v>
      </c>
      <c r="B14" s="128" t="s">
        <v>75</v>
      </c>
      <c r="C14" s="76" t="str">
        <f t="shared" ref="C14:C16" si="10">VLOOKUP(B14,DS,2,0)</f>
        <v>Lê Văn Hữu</v>
      </c>
      <c r="D14" s="103" t="str">
        <f t="shared" ref="D14:D16" si="11">VLOOKUP(B14,DS,3,0)</f>
        <v>Công Đoạn 1</v>
      </c>
      <c r="E14" s="77">
        <f t="shared" ref="E14:E16" si="12">VLOOKUP(B14,DS,4,0)</f>
        <v>3200000</v>
      </c>
      <c r="F14" s="79">
        <f>VLOOKUP(B14,'CC -11'!$B$8:$AS$17,36,0)</f>
        <v>26</v>
      </c>
      <c r="G14" s="132">
        <f t="shared" ref="G14:G16" si="13">ROUND(E14/$U$2*F14,0)</f>
        <v>3200000</v>
      </c>
      <c r="H14" s="79">
        <f>(VLOOKUP(B14,'CC -11'!$B$8:$AS$17,37,0)+VLOOKUP(B14,'CC -11'!$B$8:$AS$17,38,0))</f>
        <v>0</v>
      </c>
      <c r="I14" s="132">
        <f t="shared" ref="I14:I16" si="14">ROUND(E14/$U$2*H14,0)</f>
        <v>0</v>
      </c>
      <c r="J14" s="133">
        <f t="shared" ref="J14:K16" si="15">F14+H14</f>
        <v>26</v>
      </c>
      <c r="K14" s="32">
        <f t="shared" si="15"/>
        <v>3200000</v>
      </c>
      <c r="L14" s="77">
        <f t="shared" ref="L14:L16" si="16">+F14*15000</f>
        <v>390000</v>
      </c>
      <c r="M14" s="33">
        <f t="shared" ref="M14:M16" si="17">K14+L14</f>
        <v>3590000</v>
      </c>
      <c r="N14" s="33">
        <f t="shared" ref="N14:P16" si="18">IF(VLOOKUP($B14,DS,29,0)="x",$E14*N$4,0)</f>
        <v>0</v>
      </c>
      <c r="O14" s="33">
        <f t="shared" si="18"/>
        <v>0</v>
      </c>
      <c r="P14" s="33">
        <f t="shared" si="18"/>
        <v>0</v>
      </c>
      <c r="Q14" s="32">
        <f>M14-SUM(N14:P14)</f>
        <v>3590000</v>
      </c>
      <c r="R14" s="32">
        <f t="shared" ref="R14:R16" si="19">VLOOKUP(B14,DS,23,0)</f>
        <v>0</v>
      </c>
      <c r="S14" s="38">
        <f>Q14-R14</f>
        <v>3590000</v>
      </c>
      <c r="T14" s="32"/>
      <c r="U14" s="91"/>
      <c r="V14" s="30"/>
      <c r="W14" s="22"/>
      <c r="X14" s="5"/>
      <c r="Y14" s="5"/>
      <c r="Z14" s="5"/>
      <c r="AA14" s="4"/>
      <c r="AB14" s="4"/>
      <c r="AC14" s="4"/>
      <c r="AD14" s="4"/>
      <c r="AE14" s="4"/>
    </row>
    <row r="15" spans="1:31" s="29" customFormat="1" ht="24" customHeight="1">
      <c r="A15" s="31">
        <v>2</v>
      </c>
      <c r="B15" s="128" t="s">
        <v>76</v>
      </c>
      <c r="C15" s="76" t="str">
        <f t="shared" ref="C15" si="20">VLOOKUP(B15,DS,2,0)</f>
        <v>Lý Thanh Hải</v>
      </c>
      <c r="D15" s="103" t="str">
        <f t="shared" ref="D15" si="21">VLOOKUP(B15,DS,3,0)</f>
        <v>Công Đoạn 1</v>
      </c>
      <c r="E15" s="77">
        <f t="shared" ref="E15" si="22">VLOOKUP(B15,DS,4,0)</f>
        <v>5000000</v>
      </c>
      <c r="F15" s="79">
        <f>VLOOKUP(B15,'CC -11'!$B$8:$AS$17,36,0)</f>
        <v>26</v>
      </c>
      <c r="G15" s="132">
        <f t="shared" ref="G15" si="23">ROUND(E15/$U$2*F15,0)</f>
        <v>5000000</v>
      </c>
      <c r="H15" s="79">
        <f>(VLOOKUP(B15,'CC -11'!$B$8:$AS$17,37,0)+VLOOKUP(B15,'CC -11'!$B$8:$AS$17,38,0))</f>
        <v>0</v>
      </c>
      <c r="I15" s="132">
        <f t="shared" ref="I15" si="24">ROUND(E15/$U$2*H15,0)</f>
        <v>0</v>
      </c>
      <c r="J15" s="133">
        <f t="shared" ref="J15" si="25">F15+H15</f>
        <v>26</v>
      </c>
      <c r="K15" s="32">
        <f t="shared" ref="K15" si="26">G15+I15</f>
        <v>5000000</v>
      </c>
      <c r="L15" s="77">
        <f t="shared" ref="L15" si="27">+F15*15000</f>
        <v>390000</v>
      </c>
      <c r="M15" s="33">
        <f t="shared" ref="M15" si="28">K15+L15</f>
        <v>5390000</v>
      </c>
      <c r="N15" s="33">
        <f t="shared" si="18"/>
        <v>0</v>
      </c>
      <c r="O15" s="33">
        <f t="shared" si="18"/>
        <v>0</v>
      </c>
      <c r="P15" s="33">
        <f t="shared" si="18"/>
        <v>0</v>
      </c>
      <c r="Q15" s="32">
        <f t="shared" ref="Q15" si="29">M15-SUM(N15:P15)</f>
        <v>5390000</v>
      </c>
      <c r="R15" s="32">
        <f t="shared" ref="R15" si="30">VLOOKUP(B15,DS,23,0)</f>
        <v>0</v>
      </c>
      <c r="S15" s="38">
        <f t="shared" ref="S15" si="31">Q15-R15</f>
        <v>5390000</v>
      </c>
      <c r="T15" s="32"/>
      <c r="U15" s="91"/>
      <c r="V15" s="30"/>
      <c r="W15" s="22"/>
      <c r="X15" s="5"/>
      <c r="Y15" s="5"/>
      <c r="Z15" s="5"/>
      <c r="AA15" s="4"/>
      <c r="AB15" s="4"/>
      <c r="AC15" s="4"/>
      <c r="AD15" s="4"/>
      <c r="AE15" s="4"/>
    </row>
    <row r="16" spans="1:31" s="29" customFormat="1" ht="24" customHeight="1">
      <c r="A16" s="31">
        <v>3</v>
      </c>
      <c r="B16" s="128" t="s">
        <v>77</v>
      </c>
      <c r="C16" s="76" t="str">
        <f t="shared" si="10"/>
        <v>Cao Minh Chí</v>
      </c>
      <c r="D16" s="103" t="str">
        <f t="shared" si="11"/>
        <v>Công Đoạn 2</v>
      </c>
      <c r="E16" s="77">
        <f t="shared" si="12"/>
        <v>3200000</v>
      </c>
      <c r="F16" s="79">
        <f>VLOOKUP(B16,'CC -11'!$B$8:$AS$17,36,0)</f>
        <v>26</v>
      </c>
      <c r="G16" s="132">
        <f t="shared" si="13"/>
        <v>3200000</v>
      </c>
      <c r="H16" s="79">
        <f>(VLOOKUP(B16,'CC -11'!$B$8:$AS$17,37,0)+VLOOKUP(B16,'CC -11'!$B$8:$AS$17,38,0))</f>
        <v>0</v>
      </c>
      <c r="I16" s="132">
        <f t="shared" si="14"/>
        <v>0</v>
      </c>
      <c r="J16" s="133">
        <f t="shared" si="15"/>
        <v>26</v>
      </c>
      <c r="K16" s="32">
        <f t="shared" si="15"/>
        <v>3200000</v>
      </c>
      <c r="L16" s="77">
        <f t="shared" si="16"/>
        <v>390000</v>
      </c>
      <c r="M16" s="33">
        <f t="shared" si="17"/>
        <v>3590000</v>
      </c>
      <c r="N16" s="33">
        <f t="shared" si="18"/>
        <v>0</v>
      </c>
      <c r="O16" s="33">
        <f t="shared" si="18"/>
        <v>0</v>
      </c>
      <c r="P16" s="33">
        <f t="shared" si="18"/>
        <v>0</v>
      </c>
      <c r="Q16" s="32">
        <f t="shared" ref="Q16" si="32">M16-SUM(N16:P16)</f>
        <v>3590000</v>
      </c>
      <c r="R16" s="32">
        <f t="shared" si="19"/>
        <v>0</v>
      </c>
      <c r="S16" s="38">
        <f t="shared" ref="S16" si="33">Q16-R16</f>
        <v>3590000</v>
      </c>
      <c r="T16" s="32"/>
      <c r="U16" s="91"/>
      <c r="V16" s="30"/>
      <c r="W16" s="22"/>
      <c r="X16" s="5"/>
      <c r="Y16" s="5"/>
      <c r="Z16" s="5"/>
      <c r="AA16" s="4"/>
      <c r="AB16" s="4"/>
      <c r="AC16" s="4"/>
      <c r="AD16" s="4"/>
      <c r="AE16" s="4"/>
    </row>
    <row r="17" spans="1:26" s="29" customFormat="1" ht="22.5" customHeight="1">
      <c r="A17" s="34"/>
      <c r="B17" s="171"/>
      <c r="C17" s="35"/>
      <c r="D17" s="3"/>
      <c r="E17" s="36"/>
      <c r="F17" s="36"/>
      <c r="G17" s="36"/>
      <c r="H17" s="36"/>
      <c r="I17" s="36"/>
      <c r="J17" s="37"/>
      <c r="K17" s="36"/>
      <c r="L17" s="36"/>
      <c r="M17" s="170"/>
      <c r="N17" s="36"/>
      <c r="O17" s="36"/>
      <c r="P17" s="36"/>
      <c r="Q17" s="36"/>
      <c r="R17" s="36"/>
      <c r="S17" s="36"/>
      <c r="T17" s="32"/>
      <c r="U17" s="91"/>
      <c r="V17" s="30"/>
      <c r="W17" s="30"/>
      <c r="X17" s="30"/>
      <c r="Y17" s="30"/>
      <c r="Z17" s="30"/>
    </row>
    <row r="18" spans="1:26" s="25" customFormat="1" ht="21" customHeight="1">
      <c r="A18" s="221" t="s">
        <v>23</v>
      </c>
      <c r="B18" s="222"/>
      <c r="C18" s="222"/>
      <c r="D18" s="223"/>
      <c r="E18" s="127">
        <f>SUM(E13:E17)</f>
        <v>11400000</v>
      </c>
      <c r="F18" s="127"/>
      <c r="G18" s="127">
        <f>SUM(G13:G17)</f>
        <v>11400000</v>
      </c>
      <c r="H18" s="127"/>
      <c r="I18" s="127">
        <f>SUM(I13:I17)</f>
        <v>0</v>
      </c>
      <c r="J18" s="127"/>
      <c r="K18" s="127">
        <f t="shared" ref="K18:S18" si="34">SUM(K13:K17)</f>
        <v>11400000</v>
      </c>
      <c r="L18" s="127">
        <f t="shared" si="34"/>
        <v>1170000</v>
      </c>
      <c r="M18" s="127">
        <f t="shared" si="34"/>
        <v>12570000</v>
      </c>
      <c r="N18" s="127">
        <f t="shared" si="34"/>
        <v>0</v>
      </c>
      <c r="O18" s="127">
        <f t="shared" si="34"/>
        <v>0</v>
      </c>
      <c r="P18" s="127">
        <f t="shared" si="34"/>
        <v>0</v>
      </c>
      <c r="Q18" s="127">
        <f t="shared" si="34"/>
        <v>12570000</v>
      </c>
      <c r="R18" s="127">
        <f t="shared" si="34"/>
        <v>0</v>
      </c>
      <c r="S18" s="127">
        <f t="shared" si="34"/>
        <v>12570000</v>
      </c>
      <c r="T18" s="20"/>
      <c r="U18" s="91"/>
      <c r="V18" s="26"/>
      <c r="W18" s="26"/>
      <c r="X18" s="26"/>
      <c r="Y18" s="26"/>
      <c r="Z18" s="26"/>
    </row>
    <row r="19" spans="1:26" ht="11.25" customHeight="1">
      <c r="A19" s="8"/>
      <c r="B19" s="8"/>
      <c r="C19" s="9"/>
      <c r="D19" s="104"/>
      <c r="E19" s="81"/>
      <c r="F19" s="9"/>
      <c r="G19" s="9"/>
      <c r="H19" s="9"/>
      <c r="I19" s="9"/>
      <c r="K19" s="9"/>
      <c r="L19" s="9"/>
      <c r="M19" s="89"/>
      <c r="N19" s="9"/>
      <c r="O19" s="9"/>
      <c r="P19" s="9"/>
      <c r="Q19" s="9"/>
      <c r="R19" s="9"/>
      <c r="S19" s="9"/>
      <c r="T19" s="9"/>
      <c r="U19" s="91"/>
    </row>
    <row r="20" spans="1:26" s="29" customFormat="1" ht="11.25" customHeight="1">
      <c r="A20" s="65"/>
      <c r="B20" s="65"/>
      <c r="C20" s="65"/>
      <c r="D20" s="120"/>
      <c r="E20" s="121"/>
      <c r="F20" s="65"/>
      <c r="G20" s="65"/>
      <c r="H20" s="65"/>
      <c r="I20" s="65"/>
      <c r="J20" s="122"/>
      <c r="K20" s="121"/>
      <c r="L20" s="65"/>
      <c r="M20" s="65"/>
      <c r="N20" s="65"/>
      <c r="O20" s="65"/>
      <c r="P20" s="65"/>
      <c r="Q20" s="65"/>
      <c r="R20" s="65"/>
      <c r="S20" s="95" t="str">
        <f>"Bình Chánh, ngày  "&amp;$V$2&amp;"   tháng   "&amp;TEXT($E$4,"mm")&amp;"   năm "&amp;TEXT($E$4,"yyyy")</f>
        <v>Bình Chánh, ngày  31   tháng   11   năm 2017</v>
      </c>
      <c r="T20" s="65"/>
      <c r="U20" s="123"/>
      <c r="V20" s="30"/>
      <c r="W20" s="30"/>
      <c r="X20" s="30"/>
      <c r="Y20" s="30"/>
      <c r="Z20" s="30"/>
    </row>
    <row r="21" spans="1:26" s="29" customFormat="1" ht="12.75">
      <c r="A21" s="23"/>
      <c r="B21" s="23"/>
      <c r="C21" s="23" t="s">
        <v>53</v>
      </c>
      <c r="D21" s="124"/>
      <c r="E21" s="66"/>
      <c r="F21" s="123"/>
      <c r="G21" s="66"/>
      <c r="H21" s="66"/>
      <c r="I21" s="66"/>
      <c r="J21" s="125"/>
      <c r="K21" s="30"/>
      <c r="L21" s="23"/>
      <c r="M21" s="134"/>
      <c r="N21" s="19"/>
      <c r="O21" s="19"/>
      <c r="P21" s="19"/>
      <c r="Q21" s="19"/>
      <c r="S21" s="123" t="s">
        <v>21</v>
      </c>
      <c r="T21" s="123"/>
      <c r="U21" s="123"/>
      <c r="V21" s="30"/>
      <c r="W21" s="30"/>
      <c r="X21" s="30"/>
      <c r="Y21" s="30"/>
      <c r="Z21" s="30"/>
    </row>
    <row r="22" spans="1:26" ht="12">
      <c r="A22" s="8"/>
      <c r="B22" s="8"/>
      <c r="C22" s="15"/>
      <c r="E22" s="13"/>
      <c r="F22" s="12"/>
      <c r="G22" s="13"/>
      <c r="H22" s="13"/>
      <c r="I22" s="13"/>
      <c r="K22" s="7"/>
      <c r="L22" s="15"/>
      <c r="N22" s="11"/>
      <c r="O22" s="11"/>
      <c r="P22" s="11"/>
      <c r="Q22" s="11"/>
      <c r="S22" s="11"/>
      <c r="T22" s="12"/>
      <c r="U22" s="91"/>
    </row>
    <row r="23" spans="1:26" ht="12">
      <c r="C23" s="15"/>
      <c r="L23" s="15"/>
      <c r="T23" s="15"/>
      <c r="U23" s="91"/>
    </row>
    <row r="24" spans="1:26" ht="12">
      <c r="U24" s="91"/>
    </row>
    <row r="25" spans="1:26" ht="12">
      <c r="U25" s="91"/>
    </row>
    <row r="26" spans="1:26" ht="12">
      <c r="U26" s="91"/>
    </row>
    <row r="27" spans="1:26" ht="12">
      <c r="U27" s="91"/>
    </row>
    <row r="28" spans="1:26" ht="12">
      <c r="U28" s="91"/>
    </row>
    <row r="29" spans="1:26" ht="12">
      <c r="U29" s="91"/>
    </row>
  </sheetData>
  <protectedRanges>
    <protectedRange password="CC78" sqref="V17:IK18 C5:D7 B21:C21 V5:W9 A17:A22 B17:B20 B22 V13:W13 Q5:T7 E5:I6 D18 N5:P6 L5 L21 J6:K7 L7 A24:T57 U30:U57 N17:S17 V24:IK57 J17:L17 A58:IK65325 AF13:IK13 V12:IK12 D12 Q10:S11 AF5:IK11 W10:W11 A10:B12" name="Range1"/>
    <protectedRange password="CC78" sqref="F7:H7" name="Range1_4"/>
    <protectedRange password="CC78" sqref="V21:IK22 S21:T22 N21:Q22 E21:I22" name="Range1_1_1"/>
    <protectedRange password="CC78" sqref="U1 W1:IK3 V4:IK4 B4:T4 R2:S3 B1:Q3 U17:U29 X13:AE13 X5:AE11 U4:U13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4:W16 Q14:S16 AF14:IK16 A14:B16" name="Range1_5"/>
    <protectedRange password="CC78" sqref="U14:U16 X14:AE16" name="Range1_2_3"/>
    <protectedRange password="CC78" sqref="V14:V16" name="Range1_1_3"/>
    <protectedRange password="CC78" sqref="K10:K11 K14:K16" name="Range1_6"/>
    <protectedRange password="CC78" sqref="A2:A3" name="Range1_2_1_3"/>
    <protectedRange password="CC78" sqref="E12:T12" name="Range1_3"/>
    <protectedRange password="CC78" sqref="E18:T18" name="Range1_7"/>
    <protectedRange password="CC78" sqref="U2" name="Range1_2_2_1_1"/>
  </protectedRanges>
  <autoFilter ref="A7:AE10"/>
  <mergeCells count="22"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AL16" sqref="AL16:AL1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8" customWidth="1"/>
    <col min="5" max="5" width="7.140625" style="2" customWidth="1"/>
    <col min="6" max="33" width="3.42578125" style="110" customWidth="1"/>
    <col min="34" max="36" width="3.42578125" style="111" customWidth="1"/>
    <col min="37" max="38" width="4.42578125" style="2" customWidth="1"/>
    <col min="39" max="39" width="5.5703125" style="8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6"/>
      <c r="B1" s="41"/>
      <c r="C1" s="41"/>
      <c r="D1" s="45"/>
      <c r="E1" s="41"/>
      <c r="F1" s="45"/>
      <c r="G1" s="45"/>
      <c r="H1" s="45"/>
      <c r="I1" s="45"/>
      <c r="J1" s="45"/>
      <c r="K1" s="106"/>
      <c r="L1" s="106"/>
      <c r="M1" s="106"/>
      <c r="N1" s="106"/>
      <c r="O1" s="106"/>
      <c r="P1" s="106"/>
      <c r="Q1" s="106"/>
      <c r="R1" s="106"/>
      <c r="S1" s="43" t="str">
        <f>CONCATENATE("BẢNG CHẤM CÔNG THÁNG ",TEXT($E$4,"mm")," NĂM ",TEXT($E$4,"yyyy"))</f>
        <v>BẢNG CHẤM CÔNG THÁNG 12 NĂM 2017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42"/>
      <c r="AL1" s="42"/>
      <c r="AM1" s="259" t="s">
        <v>79</v>
      </c>
      <c r="AN1" s="260"/>
      <c r="AO1" s="260"/>
      <c r="AP1" s="260"/>
      <c r="AQ1" s="260"/>
      <c r="AR1" s="260"/>
      <c r="AS1" s="261"/>
      <c r="AT1" s="44"/>
    </row>
    <row r="2" spans="1:91" ht="20.25">
      <c r="A2" s="126"/>
      <c r="B2" s="45"/>
      <c r="C2" s="45"/>
      <c r="D2" s="45"/>
      <c r="E2" s="45"/>
      <c r="F2" s="45"/>
      <c r="G2" s="45"/>
      <c r="H2" s="45"/>
      <c r="I2" s="45"/>
      <c r="J2" s="45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42"/>
      <c r="AL2" s="42"/>
      <c r="AM2" s="83"/>
      <c r="AN2" s="46"/>
      <c r="AO2" s="46"/>
      <c r="AP2" s="46"/>
      <c r="AQ2" s="46"/>
      <c r="AR2" s="46"/>
      <c r="AS2" s="82"/>
      <c r="AT2" s="82"/>
    </row>
    <row r="3" spans="1:91" ht="21" customHeight="1">
      <c r="A3" s="126"/>
      <c r="B3" s="47"/>
      <c r="C3" s="47"/>
      <c r="D3" s="48"/>
      <c r="E3" s="48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42"/>
      <c r="AL3" s="42"/>
      <c r="AM3" s="83"/>
      <c r="AN3" s="44"/>
      <c r="AO3" s="44"/>
      <c r="AP3" s="44"/>
      <c r="AQ3" s="44"/>
      <c r="AR3" s="44"/>
      <c r="AS3" s="49"/>
      <c r="AT3" s="49"/>
    </row>
    <row r="4" spans="1:91" ht="14.25" customHeight="1">
      <c r="A4" s="50"/>
      <c r="B4" s="50"/>
      <c r="C4" s="142"/>
      <c r="D4" s="141"/>
      <c r="E4" s="51">
        <v>43070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3"/>
      <c r="AI4" s="53"/>
      <c r="AJ4" s="53"/>
      <c r="AK4" s="50"/>
      <c r="AL4" s="50"/>
      <c r="AM4" s="84"/>
      <c r="AN4" s="50"/>
      <c r="AO4" s="50"/>
      <c r="AP4" s="50"/>
      <c r="AQ4" s="50"/>
      <c r="AR4" s="50"/>
      <c r="AS4" s="50"/>
      <c r="AT4" s="88"/>
    </row>
    <row r="5" spans="1:91" s="54" customFormat="1" ht="18.75" customHeight="1">
      <c r="A5" s="256" t="s">
        <v>26</v>
      </c>
      <c r="B5" s="256" t="s">
        <v>3</v>
      </c>
      <c r="C5" s="256" t="s">
        <v>1</v>
      </c>
      <c r="D5" s="258" t="s">
        <v>27</v>
      </c>
      <c r="E5" s="256" t="s">
        <v>28</v>
      </c>
      <c r="F5" s="105">
        <f>+E4</f>
        <v>43070</v>
      </c>
      <c r="G5" s="105">
        <f t="shared" ref="G5:AJ5" si="0">F5+1</f>
        <v>43071</v>
      </c>
      <c r="H5" s="105">
        <f t="shared" si="0"/>
        <v>43072</v>
      </c>
      <c r="I5" s="105">
        <f t="shared" si="0"/>
        <v>43073</v>
      </c>
      <c r="J5" s="105">
        <f t="shared" si="0"/>
        <v>43074</v>
      </c>
      <c r="K5" s="105">
        <f t="shared" si="0"/>
        <v>43075</v>
      </c>
      <c r="L5" s="105">
        <f t="shared" si="0"/>
        <v>43076</v>
      </c>
      <c r="M5" s="105">
        <f t="shared" si="0"/>
        <v>43077</v>
      </c>
      <c r="N5" s="105">
        <f t="shared" si="0"/>
        <v>43078</v>
      </c>
      <c r="O5" s="105">
        <f t="shared" si="0"/>
        <v>43079</v>
      </c>
      <c r="P5" s="105">
        <f t="shared" si="0"/>
        <v>43080</v>
      </c>
      <c r="Q5" s="105">
        <f t="shared" si="0"/>
        <v>43081</v>
      </c>
      <c r="R5" s="105">
        <f t="shared" si="0"/>
        <v>43082</v>
      </c>
      <c r="S5" s="105">
        <f t="shared" si="0"/>
        <v>43083</v>
      </c>
      <c r="T5" s="105">
        <f t="shared" si="0"/>
        <v>43084</v>
      </c>
      <c r="U5" s="105">
        <f t="shared" si="0"/>
        <v>43085</v>
      </c>
      <c r="V5" s="105">
        <f t="shared" si="0"/>
        <v>43086</v>
      </c>
      <c r="W5" s="105">
        <f t="shared" si="0"/>
        <v>43087</v>
      </c>
      <c r="X5" s="105">
        <f t="shared" si="0"/>
        <v>43088</v>
      </c>
      <c r="Y5" s="105">
        <f t="shared" si="0"/>
        <v>43089</v>
      </c>
      <c r="Z5" s="105">
        <f t="shared" si="0"/>
        <v>43090</v>
      </c>
      <c r="AA5" s="105">
        <f t="shared" si="0"/>
        <v>43091</v>
      </c>
      <c r="AB5" s="105">
        <f t="shared" si="0"/>
        <v>43092</v>
      </c>
      <c r="AC5" s="105">
        <f t="shared" si="0"/>
        <v>43093</v>
      </c>
      <c r="AD5" s="105">
        <f t="shared" si="0"/>
        <v>43094</v>
      </c>
      <c r="AE5" s="105">
        <f t="shared" si="0"/>
        <v>43095</v>
      </c>
      <c r="AF5" s="105">
        <f t="shared" si="0"/>
        <v>43096</v>
      </c>
      <c r="AG5" s="105">
        <f t="shared" si="0"/>
        <v>43097</v>
      </c>
      <c r="AH5" s="105">
        <f>AG5+1</f>
        <v>43098</v>
      </c>
      <c r="AI5" s="105">
        <f t="shared" si="0"/>
        <v>43099</v>
      </c>
      <c r="AJ5" s="105">
        <f t="shared" si="0"/>
        <v>43100</v>
      </c>
      <c r="AK5" s="262" t="s">
        <v>15</v>
      </c>
      <c r="AL5" s="263"/>
      <c r="AM5" s="264"/>
      <c r="AN5" s="265" t="s">
        <v>39</v>
      </c>
      <c r="AO5" s="265" t="s">
        <v>35</v>
      </c>
      <c r="AP5" s="265" t="s">
        <v>36</v>
      </c>
      <c r="AQ5" s="265" t="s">
        <v>37</v>
      </c>
      <c r="AR5" s="265" t="s">
        <v>38</v>
      </c>
      <c r="AS5" s="258" t="s">
        <v>0</v>
      </c>
      <c r="AT5" s="25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4" customFormat="1" ht="39.75" customHeight="1">
      <c r="A6" s="257"/>
      <c r="B6" s="257"/>
      <c r="C6" s="257"/>
      <c r="D6" s="257"/>
      <c r="E6" s="257"/>
      <c r="F6" s="160" t="str">
        <f>CHOOSE(WEEKDAY(F5),"C.Nhật","T.Hai","T.Ba","T.Tư","T.Năm","T.Sáu","T.Bảy")</f>
        <v>T.Sáu</v>
      </c>
      <c r="G6" s="160" t="str">
        <f t="shared" ref="G6:AJ6" si="1">CHOOSE(WEEKDAY(G5),"C.Nhật","T.Hai","T.Ba","T.Tư","T.Năm","T.Sáu","T.Bảy")</f>
        <v>T.Bảy</v>
      </c>
      <c r="H6" s="160" t="str">
        <f t="shared" si="1"/>
        <v>C.Nhật</v>
      </c>
      <c r="I6" s="160" t="str">
        <f t="shared" si="1"/>
        <v>T.Hai</v>
      </c>
      <c r="J6" s="160" t="str">
        <f t="shared" si="1"/>
        <v>T.Ba</v>
      </c>
      <c r="K6" s="160" t="str">
        <f t="shared" si="1"/>
        <v>T.Tư</v>
      </c>
      <c r="L6" s="160" t="str">
        <f t="shared" si="1"/>
        <v>T.Năm</v>
      </c>
      <c r="M6" s="160" t="str">
        <f t="shared" si="1"/>
        <v>T.Sáu</v>
      </c>
      <c r="N6" s="160" t="str">
        <f t="shared" si="1"/>
        <v>T.Bảy</v>
      </c>
      <c r="O6" s="160" t="str">
        <f t="shared" si="1"/>
        <v>C.Nhật</v>
      </c>
      <c r="P6" s="160" t="str">
        <f t="shared" si="1"/>
        <v>T.Hai</v>
      </c>
      <c r="Q6" s="160" t="str">
        <f t="shared" si="1"/>
        <v>T.Ba</v>
      </c>
      <c r="R6" s="160" t="str">
        <f t="shared" si="1"/>
        <v>T.Tư</v>
      </c>
      <c r="S6" s="160" t="str">
        <f t="shared" si="1"/>
        <v>T.Năm</v>
      </c>
      <c r="T6" s="160" t="str">
        <f t="shared" si="1"/>
        <v>T.Sáu</v>
      </c>
      <c r="U6" s="160" t="str">
        <f t="shared" si="1"/>
        <v>T.Bảy</v>
      </c>
      <c r="V6" s="160" t="str">
        <f t="shared" si="1"/>
        <v>C.Nhật</v>
      </c>
      <c r="W6" s="160" t="str">
        <f t="shared" si="1"/>
        <v>T.Hai</v>
      </c>
      <c r="X6" s="160" t="str">
        <f t="shared" si="1"/>
        <v>T.Ba</v>
      </c>
      <c r="Y6" s="160" t="str">
        <f t="shared" si="1"/>
        <v>T.Tư</v>
      </c>
      <c r="Z6" s="160" t="str">
        <f t="shared" si="1"/>
        <v>T.Năm</v>
      </c>
      <c r="AA6" s="160" t="str">
        <f t="shared" si="1"/>
        <v>T.Sáu</v>
      </c>
      <c r="AB6" s="160" t="str">
        <f t="shared" si="1"/>
        <v>T.Bảy</v>
      </c>
      <c r="AC6" s="160" t="str">
        <f t="shared" si="1"/>
        <v>C.Nhật</v>
      </c>
      <c r="AD6" s="160" t="str">
        <f t="shared" si="1"/>
        <v>T.Hai</v>
      </c>
      <c r="AE6" s="160" t="str">
        <f t="shared" si="1"/>
        <v>T.Ba</v>
      </c>
      <c r="AF6" s="160" t="str">
        <f t="shared" si="1"/>
        <v>T.Tư</v>
      </c>
      <c r="AG6" s="160" t="str">
        <f t="shared" si="1"/>
        <v>T.Năm</v>
      </c>
      <c r="AH6" s="160" t="str">
        <f t="shared" si="1"/>
        <v>T.Sáu</v>
      </c>
      <c r="AI6" s="160" t="str">
        <f t="shared" si="1"/>
        <v>T.Bảy</v>
      </c>
      <c r="AJ6" s="160" t="str">
        <f t="shared" si="1"/>
        <v>C.Nhật</v>
      </c>
      <c r="AK6" s="161" t="s">
        <v>16</v>
      </c>
      <c r="AL6" s="161" t="s">
        <v>29</v>
      </c>
      <c r="AM6" s="162" t="s">
        <v>17</v>
      </c>
      <c r="AN6" s="266"/>
      <c r="AO6" s="266"/>
      <c r="AP6" s="266"/>
      <c r="AQ6" s="266"/>
      <c r="AR6" s="266"/>
      <c r="AS6" s="257"/>
      <c r="AT6" s="25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4" customFormat="1" ht="12.75" customHeight="1">
      <c r="A7" s="163">
        <v>1</v>
      </c>
      <c r="B7" s="163">
        <v>1</v>
      </c>
      <c r="C7" s="163">
        <v>2</v>
      </c>
      <c r="D7" s="163">
        <v>3</v>
      </c>
      <c r="E7" s="163">
        <v>4</v>
      </c>
      <c r="F7" s="163">
        <v>5</v>
      </c>
      <c r="G7" s="163">
        <v>6</v>
      </c>
      <c r="H7" s="163">
        <v>7</v>
      </c>
      <c r="I7" s="163">
        <v>8</v>
      </c>
      <c r="J7" s="163">
        <v>9</v>
      </c>
      <c r="K7" s="163">
        <v>10</v>
      </c>
      <c r="L7" s="163">
        <v>11</v>
      </c>
      <c r="M7" s="163">
        <v>12</v>
      </c>
      <c r="N7" s="163">
        <v>13</v>
      </c>
      <c r="O7" s="163">
        <v>14</v>
      </c>
      <c r="P7" s="163">
        <v>15</v>
      </c>
      <c r="Q7" s="163">
        <v>16</v>
      </c>
      <c r="R7" s="163">
        <v>17</v>
      </c>
      <c r="S7" s="163">
        <v>18</v>
      </c>
      <c r="T7" s="163">
        <v>19</v>
      </c>
      <c r="U7" s="163">
        <v>20</v>
      </c>
      <c r="V7" s="163">
        <v>21</v>
      </c>
      <c r="W7" s="163">
        <v>22</v>
      </c>
      <c r="X7" s="163">
        <v>23</v>
      </c>
      <c r="Y7" s="163">
        <v>24</v>
      </c>
      <c r="Z7" s="163">
        <v>25</v>
      </c>
      <c r="AA7" s="163">
        <v>26</v>
      </c>
      <c r="AB7" s="163">
        <v>27</v>
      </c>
      <c r="AC7" s="163">
        <v>28</v>
      </c>
      <c r="AD7" s="163">
        <v>29</v>
      </c>
      <c r="AE7" s="163">
        <v>30</v>
      </c>
      <c r="AF7" s="163">
        <v>31</v>
      </c>
      <c r="AG7" s="163">
        <v>32</v>
      </c>
      <c r="AH7" s="163">
        <v>33</v>
      </c>
      <c r="AI7" s="163">
        <v>34</v>
      </c>
      <c r="AJ7" s="163">
        <v>35</v>
      </c>
      <c r="AK7" s="163">
        <v>36</v>
      </c>
      <c r="AL7" s="163">
        <v>37</v>
      </c>
      <c r="AM7" s="163">
        <v>38</v>
      </c>
      <c r="AN7" s="163">
        <v>39</v>
      </c>
      <c r="AO7" s="163">
        <v>40</v>
      </c>
      <c r="AP7" s="163">
        <v>41</v>
      </c>
      <c r="AQ7" s="163">
        <v>42</v>
      </c>
      <c r="AR7" s="163">
        <v>43</v>
      </c>
      <c r="AS7" s="163">
        <v>44</v>
      </c>
      <c r="AT7" s="200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6" customFormat="1" ht="21" customHeight="1">
      <c r="A8" s="164" t="s">
        <v>68</v>
      </c>
      <c r="B8" s="167" t="s">
        <v>80</v>
      </c>
      <c r="C8" s="168"/>
      <c r="D8" s="168"/>
      <c r="E8" s="168"/>
      <c r="F8" s="168"/>
      <c r="G8" s="168"/>
      <c r="H8" s="168"/>
      <c r="I8" s="168"/>
      <c r="J8" s="168"/>
      <c r="K8" s="168"/>
      <c r="L8" s="168"/>
      <c r="M8" s="168"/>
      <c r="N8" s="168"/>
      <c r="O8" s="168"/>
      <c r="P8" s="168"/>
      <c r="Q8" s="168"/>
      <c r="R8" s="168"/>
      <c r="S8" s="168"/>
      <c r="T8" s="168"/>
      <c r="U8" s="168"/>
      <c r="V8" s="168"/>
      <c r="W8" s="168"/>
      <c r="X8" s="168"/>
      <c r="Y8" s="168"/>
      <c r="Z8" s="168"/>
      <c r="AA8" s="168"/>
      <c r="AB8" s="168"/>
      <c r="AC8" s="168"/>
      <c r="AD8" s="168"/>
      <c r="AE8" s="168"/>
      <c r="AF8" s="168"/>
      <c r="AG8" s="168"/>
      <c r="AH8" s="168"/>
      <c r="AI8" s="168"/>
      <c r="AJ8" s="168"/>
      <c r="AK8" s="168"/>
      <c r="AL8" s="168"/>
      <c r="AM8" s="168"/>
      <c r="AN8" s="168"/>
      <c r="AO8" s="168"/>
      <c r="AP8" s="168"/>
      <c r="AQ8" s="168"/>
      <c r="AR8" s="168"/>
      <c r="AS8" s="169"/>
      <c r="AT8" s="165"/>
    </row>
    <row r="9" spans="1:91" s="54" customFormat="1" ht="18" customHeight="1">
      <c r="A9" s="249">
        <v>1</v>
      </c>
      <c r="B9" s="249" t="s">
        <v>74</v>
      </c>
      <c r="C9" s="251" t="str">
        <f>VLOOKUP(B9,DS,2,0)</f>
        <v>Nguyễn Thị Kim Quyên</v>
      </c>
      <c r="D9" s="253" t="str">
        <f>VLOOKUP(B9,DS,3,0)</f>
        <v>Văn Phòng</v>
      </c>
      <c r="E9" s="55" t="s">
        <v>30</v>
      </c>
      <c r="F9" s="130">
        <v>8</v>
      </c>
      <c r="G9" s="130">
        <v>8</v>
      </c>
      <c r="H9" s="130"/>
      <c r="I9" s="130">
        <v>8</v>
      </c>
      <c r="J9" s="130">
        <v>8</v>
      </c>
      <c r="K9" s="130">
        <v>8</v>
      </c>
      <c r="L9" s="130">
        <v>8</v>
      </c>
      <c r="M9" s="130">
        <v>8</v>
      </c>
      <c r="N9" s="130">
        <v>8</v>
      </c>
      <c r="O9" s="130"/>
      <c r="P9" s="130">
        <v>8</v>
      </c>
      <c r="Q9" s="130">
        <v>8</v>
      </c>
      <c r="R9" s="130">
        <v>8</v>
      </c>
      <c r="S9" s="130">
        <v>8</v>
      </c>
      <c r="T9" s="130">
        <v>8</v>
      </c>
      <c r="U9" s="130">
        <v>8</v>
      </c>
      <c r="V9" s="130"/>
      <c r="W9" s="130">
        <v>8</v>
      </c>
      <c r="X9" s="130">
        <v>8</v>
      </c>
      <c r="Y9" s="130">
        <v>8</v>
      </c>
      <c r="Z9" s="130">
        <v>8</v>
      </c>
      <c r="AA9" s="130">
        <v>8</v>
      </c>
      <c r="AB9" s="130">
        <v>8</v>
      </c>
      <c r="AC9" s="130"/>
      <c r="AD9" s="130">
        <v>8</v>
      </c>
      <c r="AE9" s="130">
        <v>8</v>
      </c>
      <c r="AF9" s="130">
        <v>8</v>
      </c>
      <c r="AG9" s="130">
        <v>8</v>
      </c>
      <c r="AH9" s="130">
        <v>8</v>
      </c>
      <c r="AI9" s="130">
        <v>8</v>
      </c>
      <c r="AJ9" s="130"/>
      <c r="AK9" s="245">
        <f>((SUM(F9:AJ9))/8)-(SUMIF($F$6:$AJ$6,"C.Nhật",F9:AJ9)/8)</f>
        <v>26</v>
      </c>
      <c r="AL9" s="245">
        <f>SUM(F10:AJ10)/8*1.5</f>
        <v>0</v>
      </c>
      <c r="AM9" s="247">
        <f>SUMIF($F$6:$AJ$6,"C.Nhật",$F9:$AJ10)/8*2</f>
        <v>0</v>
      </c>
      <c r="AN9" s="241">
        <f>SUM(AK9:AM10)</f>
        <v>26</v>
      </c>
      <c r="AO9" s="243">
        <v>0</v>
      </c>
      <c r="AP9" s="241"/>
      <c r="AQ9" s="241"/>
      <c r="AR9" s="241"/>
      <c r="AS9" s="239"/>
      <c r="AT9" s="200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4" customFormat="1" ht="18" customHeight="1">
      <c r="A10" s="250"/>
      <c r="B10" s="250"/>
      <c r="C10" s="252"/>
      <c r="D10" s="254"/>
      <c r="E10" s="56" t="s">
        <v>29</v>
      </c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131"/>
      <c r="AK10" s="246"/>
      <c r="AL10" s="246"/>
      <c r="AM10" s="248"/>
      <c r="AN10" s="242"/>
      <c r="AO10" s="244"/>
      <c r="AP10" s="242"/>
      <c r="AQ10" s="242"/>
      <c r="AR10" s="242"/>
      <c r="AS10" s="240"/>
      <c r="AT10" s="200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66" customFormat="1" ht="21" customHeight="1">
      <c r="A11" s="164" t="s">
        <v>69</v>
      </c>
      <c r="B11" s="167" t="s">
        <v>73</v>
      </c>
      <c r="C11" s="168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  <c r="P11" s="168"/>
      <c r="Q11" s="168"/>
      <c r="R11" s="168"/>
      <c r="S11" s="168"/>
      <c r="T11" s="168"/>
      <c r="U11" s="168"/>
      <c r="V11" s="168"/>
      <c r="W11" s="168"/>
      <c r="X11" s="168"/>
      <c r="Y11" s="168"/>
      <c r="Z11" s="168"/>
      <c r="AA11" s="168"/>
      <c r="AB11" s="168"/>
      <c r="AC11" s="168"/>
      <c r="AD11" s="168"/>
      <c r="AE11" s="168"/>
      <c r="AF11" s="168"/>
      <c r="AG11" s="168"/>
      <c r="AH11" s="168"/>
      <c r="AI11" s="168"/>
      <c r="AJ11" s="168"/>
      <c r="AK11" s="168"/>
      <c r="AL11" s="168"/>
      <c r="AM11" s="168"/>
      <c r="AN11" s="168"/>
      <c r="AO11" s="168"/>
      <c r="AP11" s="168"/>
      <c r="AQ11" s="168"/>
      <c r="AR11" s="168"/>
      <c r="AS11" s="169"/>
      <c r="AT11" s="165"/>
    </row>
    <row r="12" spans="1:91" s="54" customFormat="1" ht="18" customHeight="1">
      <c r="A12" s="249">
        <v>1</v>
      </c>
      <c r="B12" s="249" t="s">
        <v>75</v>
      </c>
      <c r="C12" s="251" t="str">
        <f>VLOOKUP(B12,DS,2,0)</f>
        <v>Lê Văn Hữu</v>
      </c>
      <c r="D12" s="253" t="str">
        <f>VLOOKUP(B12,DS,3,0)</f>
        <v>Công Đoạn 1</v>
      </c>
      <c r="E12" s="55" t="s">
        <v>30</v>
      </c>
      <c r="F12" s="130">
        <v>8</v>
      </c>
      <c r="G12" s="130">
        <v>8</v>
      </c>
      <c r="H12" s="130"/>
      <c r="I12" s="130">
        <v>8</v>
      </c>
      <c r="J12" s="130">
        <v>8</v>
      </c>
      <c r="K12" s="130">
        <v>8</v>
      </c>
      <c r="L12" s="130">
        <v>8</v>
      </c>
      <c r="M12" s="130">
        <v>8</v>
      </c>
      <c r="N12" s="130">
        <v>8</v>
      </c>
      <c r="O12" s="130"/>
      <c r="P12" s="130">
        <v>8</v>
      </c>
      <c r="Q12" s="130">
        <v>8</v>
      </c>
      <c r="R12" s="130">
        <v>8</v>
      </c>
      <c r="S12" s="130">
        <v>8</v>
      </c>
      <c r="T12" s="130">
        <v>8</v>
      </c>
      <c r="U12" s="130">
        <v>8</v>
      </c>
      <c r="V12" s="130"/>
      <c r="W12" s="130">
        <v>8</v>
      </c>
      <c r="X12" s="130">
        <v>8</v>
      </c>
      <c r="Y12" s="130">
        <v>8</v>
      </c>
      <c r="Z12" s="130">
        <v>8</v>
      </c>
      <c r="AA12" s="130">
        <v>8</v>
      </c>
      <c r="AB12" s="130">
        <v>8</v>
      </c>
      <c r="AC12" s="130"/>
      <c r="AD12" s="130">
        <v>8</v>
      </c>
      <c r="AE12" s="130">
        <v>8</v>
      </c>
      <c r="AF12" s="130">
        <v>8</v>
      </c>
      <c r="AG12" s="130">
        <v>8</v>
      </c>
      <c r="AH12" s="130">
        <v>8</v>
      </c>
      <c r="AI12" s="130">
        <v>8</v>
      </c>
      <c r="AJ12" s="130"/>
      <c r="AK12" s="245">
        <f t="shared" ref="AK12" si="2">((SUM(F12:AJ12))/8)-(SUMIF($F$6:$AJ$6,"C.Nhật",F12:AJ12)/8)</f>
        <v>26</v>
      </c>
      <c r="AL12" s="245">
        <f t="shared" ref="AL12" si="3">SUM(F13:AJ13)/8*1.5</f>
        <v>0</v>
      </c>
      <c r="AM12" s="247">
        <f>SUMIF($F$6:$AJ$6,"C.Nhật",$F12:$AJ13)/8*2</f>
        <v>0</v>
      </c>
      <c r="AN12" s="241">
        <f>SUM(AK12:AM13)</f>
        <v>26</v>
      </c>
      <c r="AO12" s="243">
        <v>0</v>
      </c>
      <c r="AP12" s="241"/>
      <c r="AQ12" s="241"/>
      <c r="AR12" s="241"/>
      <c r="AS12" s="239"/>
      <c r="AT12" s="205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54" customFormat="1" ht="18" customHeight="1">
      <c r="A13" s="250"/>
      <c r="B13" s="250"/>
      <c r="C13" s="252"/>
      <c r="D13" s="254"/>
      <c r="E13" s="56" t="s">
        <v>29</v>
      </c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  <c r="AH13" s="131"/>
      <c r="AI13" s="131"/>
      <c r="AJ13" s="131"/>
      <c r="AK13" s="246"/>
      <c r="AL13" s="246"/>
      <c r="AM13" s="248"/>
      <c r="AN13" s="242"/>
      <c r="AO13" s="244"/>
      <c r="AP13" s="242"/>
      <c r="AQ13" s="242"/>
      <c r="AR13" s="242"/>
      <c r="AS13" s="240"/>
      <c r="AT13" s="205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54" customFormat="1" ht="18" customHeight="1">
      <c r="A14" s="249">
        <v>2</v>
      </c>
      <c r="B14" s="249" t="s">
        <v>76</v>
      </c>
      <c r="C14" s="251" t="str">
        <f>VLOOKUP(B14,DS,2,0)</f>
        <v>Lý Thanh Hải</v>
      </c>
      <c r="D14" s="253" t="str">
        <f>VLOOKUP(B14,DS,3,0)</f>
        <v>Công Đoạn 1</v>
      </c>
      <c r="E14" s="55" t="s">
        <v>30</v>
      </c>
      <c r="F14" s="130">
        <v>8</v>
      </c>
      <c r="G14" s="130">
        <v>8</v>
      </c>
      <c r="H14" s="130"/>
      <c r="I14" s="130">
        <v>8</v>
      </c>
      <c r="J14" s="130">
        <v>8</v>
      </c>
      <c r="K14" s="130">
        <v>8</v>
      </c>
      <c r="L14" s="130">
        <v>8</v>
      </c>
      <c r="M14" s="130">
        <v>8</v>
      </c>
      <c r="N14" s="130">
        <v>8</v>
      </c>
      <c r="O14" s="130"/>
      <c r="P14" s="130">
        <v>8</v>
      </c>
      <c r="Q14" s="130">
        <v>8</v>
      </c>
      <c r="R14" s="130">
        <v>8</v>
      </c>
      <c r="S14" s="130">
        <v>8</v>
      </c>
      <c r="T14" s="130">
        <v>8</v>
      </c>
      <c r="U14" s="130">
        <v>8</v>
      </c>
      <c r="V14" s="130"/>
      <c r="W14" s="130">
        <v>8</v>
      </c>
      <c r="X14" s="130">
        <v>8</v>
      </c>
      <c r="Y14" s="130">
        <v>8</v>
      </c>
      <c r="Z14" s="130">
        <v>8</v>
      </c>
      <c r="AA14" s="130">
        <v>8</v>
      </c>
      <c r="AB14" s="130">
        <v>8</v>
      </c>
      <c r="AC14" s="130"/>
      <c r="AD14" s="130">
        <v>8</v>
      </c>
      <c r="AE14" s="130">
        <v>8</v>
      </c>
      <c r="AF14" s="130">
        <v>8</v>
      </c>
      <c r="AG14" s="130">
        <v>8</v>
      </c>
      <c r="AH14" s="130">
        <v>8</v>
      </c>
      <c r="AI14" s="130">
        <v>8</v>
      </c>
      <c r="AJ14" s="130"/>
      <c r="AK14" s="245">
        <f t="shared" ref="AK14" si="4">((SUM(F14:AJ14))/8)-(SUMIF($F$6:$AJ$6,"C.Nhật",F14:AJ14)/8)</f>
        <v>26</v>
      </c>
      <c r="AL14" s="245">
        <f t="shared" ref="AL14" si="5">SUM(F15:AJ15)/8*1.5</f>
        <v>0</v>
      </c>
      <c r="AM14" s="247">
        <f t="shared" ref="AM14" si="6">SUMIF($F$6:$AJ$6,"C.Nhật",$F14:$AJ15)/8*2</f>
        <v>0</v>
      </c>
      <c r="AN14" s="241">
        <f t="shared" ref="AN14" si="7">SUM(AK14:AM15)</f>
        <v>26</v>
      </c>
      <c r="AO14" s="243">
        <v>0</v>
      </c>
      <c r="AP14" s="241"/>
      <c r="AQ14" s="241"/>
      <c r="AR14" s="241"/>
      <c r="AS14" s="239"/>
      <c r="AT14" s="21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4" customFormat="1" ht="18" customHeight="1">
      <c r="A15" s="250"/>
      <c r="B15" s="250"/>
      <c r="C15" s="252"/>
      <c r="D15" s="254"/>
      <c r="E15" s="56" t="s">
        <v>29</v>
      </c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31"/>
      <c r="AK15" s="246"/>
      <c r="AL15" s="246"/>
      <c r="AM15" s="248"/>
      <c r="AN15" s="242"/>
      <c r="AO15" s="244"/>
      <c r="AP15" s="242"/>
      <c r="AQ15" s="242"/>
      <c r="AR15" s="242"/>
      <c r="AS15" s="240"/>
      <c r="AT15" s="21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4" customFormat="1" ht="18" customHeight="1">
      <c r="A16" s="249">
        <v>3</v>
      </c>
      <c r="B16" s="249" t="s">
        <v>77</v>
      </c>
      <c r="C16" s="251" t="str">
        <f>VLOOKUP(B16,DS,2,0)</f>
        <v>Cao Minh Chí</v>
      </c>
      <c r="D16" s="253" t="str">
        <f>VLOOKUP(B16,DS,3,0)</f>
        <v>Công Đoạn 2</v>
      </c>
      <c r="E16" s="55" t="s">
        <v>30</v>
      </c>
      <c r="F16" s="130">
        <v>8</v>
      </c>
      <c r="G16" s="130">
        <v>8</v>
      </c>
      <c r="H16" s="130"/>
      <c r="I16" s="130">
        <v>8</v>
      </c>
      <c r="J16" s="130">
        <v>8</v>
      </c>
      <c r="K16" s="130">
        <v>8</v>
      </c>
      <c r="L16" s="130">
        <v>8</v>
      </c>
      <c r="M16" s="130">
        <v>8</v>
      </c>
      <c r="N16" s="130">
        <v>8</v>
      </c>
      <c r="O16" s="130"/>
      <c r="P16" s="130">
        <v>8</v>
      </c>
      <c r="Q16" s="130">
        <v>8</v>
      </c>
      <c r="R16" s="130">
        <v>8</v>
      </c>
      <c r="S16" s="130">
        <v>8</v>
      </c>
      <c r="T16" s="130">
        <v>8</v>
      </c>
      <c r="U16" s="130">
        <v>8</v>
      </c>
      <c r="V16" s="130"/>
      <c r="W16" s="130">
        <v>8</v>
      </c>
      <c r="X16" s="130">
        <v>8</v>
      </c>
      <c r="Y16" s="130">
        <v>8</v>
      </c>
      <c r="Z16" s="130">
        <v>8</v>
      </c>
      <c r="AA16" s="130">
        <v>8</v>
      </c>
      <c r="AB16" s="130">
        <v>8</v>
      </c>
      <c r="AC16" s="130"/>
      <c r="AD16" s="130">
        <v>8</v>
      </c>
      <c r="AE16" s="130">
        <v>8</v>
      </c>
      <c r="AF16" s="130">
        <v>8</v>
      </c>
      <c r="AG16" s="130">
        <v>8</v>
      </c>
      <c r="AH16" s="130">
        <v>8</v>
      </c>
      <c r="AI16" s="130">
        <v>8</v>
      </c>
      <c r="AJ16" s="130"/>
      <c r="AK16" s="245">
        <f t="shared" ref="AK16" si="8">((SUM(F16:AJ16))/8)-(SUMIF($F$6:$AJ$6,"C.Nhật",F16:AJ16)/8)</f>
        <v>26</v>
      </c>
      <c r="AL16" s="245">
        <f t="shared" ref="AL16" si="9">SUM(F17:AJ17)/8*1.5</f>
        <v>0</v>
      </c>
      <c r="AM16" s="247">
        <f t="shared" ref="AM16" si="10">SUMIF($F$6:$AJ$6,"C.Nhật",$F16:$AJ17)/8*2</f>
        <v>0</v>
      </c>
      <c r="AN16" s="241">
        <f t="shared" ref="AN16" si="11">SUM(AK16:AM17)</f>
        <v>26</v>
      </c>
      <c r="AO16" s="243">
        <v>0</v>
      </c>
      <c r="AP16" s="241"/>
      <c r="AQ16" s="241"/>
      <c r="AR16" s="241"/>
      <c r="AS16" s="239"/>
      <c r="AT16" s="21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54" customFormat="1" ht="18" customHeight="1">
      <c r="A17" s="250"/>
      <c r="B17" s="250"/>
      <c r="C17" s="252"/>
      <c r="D17" s="254"/>
      <c r="E17" s="56" t="s">
        <v>29</v>
      </c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31"/>
      <c r="AK17" s="246"/>
      <c r="AL17" s="246"/>
      <c r="AM17" s="248"/>
      <c r="AN17" s="242"/>
      <c r="AO17" s="244"/>
      <c r="AP17" s="242"/>
      <c r="AQ17" s="242"/>
      <c r="AR17" s="242"/>
      <c r="AS17" s="240"/>
      <c r="AT17" s="21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57" customFormat="1" ht="12.75">
      <c r="A18" s="14"/>
      <c r="B18" s="58"/>
      <c r="C18" s="4"/>
      <c r="D18" s="100"/>
      <c r="E18" s="4"/>
      <c r="F18" s="62"/>
      <c r="G18" s="62"/>
      <c r="H18" s="59"/>
      <c r="I18" s="59"/>
      <c r="J18" s="107"/>
      <c r="K18" s="62"/>
      <c r="L18" s="59"/>
      <c r="M18" s="62"/>
      <c r="N18" s="62"/>
      <c r="O18" s="62"/>
      <c r="P18" s="62"/>
      <c r="Q18" s="59"/>
      <c r="R18" s="62"/>
      <c r="S18" s="62"/>
      <c r="T18" s="107"/>
      <c r="U18" s="62"/>
      <c r="V18" s="62"/>
      <c r="W18" s="62"/>
      <c r="X18" s="58"/>
      <c r="Y18" s="62"/>
      <c r="Z18" s="62"/>
      <c r="AA18" s="62"/>
      <c r="AB18" s="62"/>
      <c r="AC18" s="62"/>
      <c r="AD18" s="59"/>
      <c r="AE18" s="62"/>
      <c r="AF18" s="62"/>
      <c r="AG18" s="62"/>
      <c r="AH18" s="62"/>
      <c r="AI18" s="62"/>
      <c r="AJ18" s="62"/>
      <c r="AK18" s="4"/>
      <c r="AL18" s="4"/>
      <c r="AM18" s="85"/>
      <c r="AN18" s="61"/>
      <c r="AO18" s="61"/>
      <c r="AP18" s="61"/>
      <c r="AQ18" s="61"/>
      <c r="AR18" s="61"/>
      <c r="AS18" s="4"/>
      <c r="AT18" s="91"/>
    </row>
    <row r="19" spans="1:91" s="57" customFormat="1" ht="12.75">
      <c r="A19" s="14"/>
      <c r="B19" s="58"/>
      <c r="C19" s="14" t="s">
        <v>14</v>
      </c>
      <c r="D19" s="100"/>
      <c r="E19" s="4"/>
      <c r="F19" s="62"/>
      <c r="G19" s="62"/>
      <c r="H19" s="59"/>
      <c r="I19" s="59"/>
      <c r="J19" s="107"/>
      <c r="K19" s="62"/>
      <c r="L19" s="59"/>
      <c r="M19" s="62"/>
      <c r="N19" s="62"/>
      <c r="O19" s="62"/>
      <c r="P19" s="62"/>
      <c r="Q19" s="59"/>
      <c r="R19" s="62"/>
      <c r="S19" s="62"/>
      <c r="T19" s="107"/>
      <c r="U19" s="62"/>
      <c r="V19" s="62"/>
      <c r="W19" s="62"/>
      <c r="X19" s="58"/>
      <c r="Y19" s="62"/>
      <c r="Z19" s="62"/>
      <c r="AA19" s="62"/>
      <c r="AB19" s="62"/>
      <c r="AC19" s="62"/>
      <c r="AD19" s="59"/>
      <c r="AE19" s="62"/>
      <c r="AF19" s="62"/>
      <c r="AG19" s="62"/>
      <c r="AH19" s="62"/>
      <c r="AI19" s="62"/>
      <c r="AJ19" s="62"/>
      <c r="AK19" s="4"/>
      <c r="AL19" s="4"/>
      <c r="AM19" s="85"/>
      <c r="AN19" s="61"/>
      <c r="AO19" s="61"/>
      <c r="AP19" s="61"/>
      <c r="AQ19" s="61"/>
      <c r="AR19" s="61"/>
      <c r="AS19" s="4"/>
      <c r="AT19" s="91"/>
    </row>
    <row r="20" spans="1:91" s="57" customFormat="1" ht="12.75">
      <c r="A20" s="12"/>
      <c r="B20" s="12"/>
      <c r="C20" s="4"/>
      <c r="D20" s="100"/>
      <c r="E20" s="4"/>
      <c r="F20" s="62"/>
      <c r="G20" s="62"/>
      <c r="H20" s="108"/>
      <c r="I20" s="108"/>
      <c r="J20" s="108"/>
      <c r="K20" s="62"/>
      <c r="L20" s="108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108"/>
      <c r="AE20" s="62"/>
      <c r="AF20" s="62"/>
      <c r="AG20" s="62"/>
      <c r="AH20" s="62"/>
      <c r="AI20" s="62"/>
      <c r="AJ20" s="62"/>
      <c r="AK20" s="4"/>
      <c r="AL20" s="4"/>
      <c r="AM20" s="85"/>
      <c r="AN20" s="63"/>
      <c r="AO20" s="63"/>
      <c r="AP20" s="63"/>
      <c r="AQ20" s="63"/>
      <c r="AR20" s="63"/>
      <c r="AS20" s="4"/>
      <c r="AT20" s="91"/>
    </row>
    <row r="21" spans="1:91" s="60" customFormat="1" ht="15" customHeight="1">
      <c r="A21" s="12"/>
      <c r="B21" s="12"/>
      <c r="C21" s="4"/>
      <c r="D21" s="100"/>
      <c r="E21" s="4"/>
      <c r="F21" s="62"/>
      <c r="G21" s="62"/>
      <c r="H21" s="108"/>
      <c r="I21" s="108"/>
      <c r="J21" s="108"/>
      <c r="K21" s="62"/>
      <c r="L21" s="108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108"/>
      <c r="AE21" s="62"/>
      <c r="AF21" s="62"/>
      <c r="AG21" s="62"/>
      <c r="AH21" s="62"/>
      <c r="AI21" s="62"/>
      <c r="AJ21" s="62"/>
      <c r="AK21" s="4"/>
      <c r="AL21" s="4"/>
      <c r="AM21" s="85"/>
      <c r="AN21" s="63"/>
      <c r="AO21" s="63"/>
      <c r="AP21" s="63"/>
      <c r="AQ21" s="63"/>
      <c r="AR21" s="63"/>
      <c r="AS21" s="4"/>
      <c r="AT21" s="4"/>
    </row>
    <row r="22" spans="1:91" s="60" customFormat="1" ht="11.25">
      <c r="A22" s="12"/>
      <c r="B22" s="12"/>
      <c r="C22" s="4"/>
      <c r="D22" s="100"/>
      <c r="E22" s="4"/>
      <c r="F22" s="62"/>
      <c r="G22" s="62"/>
      <c r="H22" s="108"/>
      <c r="I22" s="108"/>
      <c r="J22" s="108"/>
      <c r="K22" s="62"/>
      <c r="L22" s="108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108"/>
      <c r="AE22" s="62"/>
      <c r="AF22" s="62"/>
      <c r="AG22" s="62"/>
      <c r="AH22" s="62"/>
      <c r="AI22" s="62"/>
      <c r="AJ22" s="62"/>
      <c r="AK22" s="4"/>
      <c r="AL22" s="4"/>
      <c r="AM22" s="85"/>
      <c r="AN22" s="63"/>
      <c r="AO22" s="63"/>
      <c r="AP22" s="63"/>
      <c r="AQ22" s="63"/>
      <c r="AR22" s="63"/>
      <c r="AS22" s="4"/>
      <c r="AT22" s="4"/>
    </row>
    <row r="23" spans="1:91" s="60" customFormat="1" ht="11.25">
      <c r="A23" s="12"/>
      <c r="B23" s="12"/>
      <c r="C23" s="4"/>
      <c r="D23" s="100"/>
      <c r="E23" s="4"/>
      <c r="F23" s="62"/>
      <c r="G23" s="62"/>
      <c r="H23" s="108"/>
      <c r="I23" s="108"/>
      <c r="J23" s="108"/>
      <c r="K23" s="62"/>
      <c r="L23" s="108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108"/>
      <c r="AE23" s="62"/>
      <c r="AF23" s="62"/>
      <c r="AG23" s="62"/>
      <c r="AH23" s="62"/>
      <c r="AI23" s="62"/>
      <c r="AJ23" s="62"/>
      <c r="AK23" s="4"/>
      <c r="AL23" s="4"/>
      <c r="AM23" s="85"/>
      <c r="AN23" s="63"/>
      <c r="AO23" s="63"/>
      <c r="AP23" s="63"/>
      <c r="AQ23" s="63"/>
      <c r="AR23" s="63"/>
      <c r="AS23" s="4"/>
      <c r="AT23" s="4"/>
    </row>
    <row r="24" spans="1:91" s="60" customFormat="1" ht="11.25">
      <c r="A24" s="10"/>
      <c r="B24" s="10"/>
      <c r="C24" s="14"/>
      <c r="D24" s="101"/>
      <c r="E24" s="64"/>
      <c r="F24" s="107"/>
      <c r="G24" s="109"/>
      <c r="H24" s="59"/>
      <c r="I24" s="59"/>
      <c r="J24" s="59"/>
      <c r="K24" s="109"/>
      <c r="L24" s="59"/>
      <c r="M24" s="109"/>
      <c r="N24" s="109"/>
      <c r="O24" s="109"/>
      <c r="P24" s="109"/>
      <c r="Q24" s="59"/>
      <c r="R24" s="107"/>
      <c r="S24" s="109"/>
      <c r="T24" s="109"/>
      <c r="U24" s="59"/>
      <c r="V24" s="109"/>
      <c r="W24" s="109"/>
      <c r="X24" s="59"/>
      <c r="Y24" s="109"/>
      <c r="Z24" s="109"/>
      <c r="AA24" s="109"/>
      <c r="AB24" s="109"/>
      <c r="AC24" s="109"/>
      <c r="AD24" s="59"/>
      <c r="AE24" s="109"/>
      <c r="AF24" s="109"/>
      <c r="AG24" s="109"/>
      <c r="AH24" s="109"/>
      <c r="AI24" s="109"/>
      <c r="AJ24" s="109"/>
      <c r="AK24" s="64"/>
      <c r="AM24" s="86"/>
      <c r="AN24" s="10"/>
      <c r="AO24" s="10"/>
      <c r="AP24" s="10"/>
      <c r="AQ24" s="10"/>
      <c r="AR24" s="10"/>
      <c r="AS24" s="14"/>
      <c r="AT24" s="4"/>
    </row>
    <row r="25" spans="1:91" s="60" customFormat="1" ht="12.75">
      <c r="A25" s="2"/>
      <c r="B25" s="2" t="s">
        <v>0</v>
      </c>
      <c r="C25" s="2"/>
      <c r="D25" s="198"/>
      <c r="E25" s="2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1"/>
      <c r="AI25" s="111"/>
      <c r="AJ25" s="111"/>
      <c r="AK25" s="2"/>
      <c r="AL25" s="2"/>
      <c r="AM25" s="87"/>
      <c r="AN25" s="2"/>
      <c r="AO25" s="2"/>
      <c r="AP25" s="2"/>
      <c r="AQ25" s="2"/>
      <c r="AR25" s="2"/>
      <c r="AS25" s="2"/>
      <c r="AT25" s="4"/>
    </row>
    <row r="26" spans="1:91" s="60" customFormat="1" ht="12.75">
      <c r="A26" s="2"/>
      <c r="B26" s="2"/>
      <c r="C26" s="2" t="s">
        <v>40</v>
      </c>
      <c r="D26" s="198"/>
      <c r="E26" s="2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1"/>
      <c r="AI26" s="111"/>
      <c r="AJ26" s="111"/>
      <c r="AK26" s="2"/>
      <c r="AL26" s="2"/>
      <c r="AM26" s="87"/>
      <c r="AN26" s="2"/>
      <c r="AO26" s="2"/>
      <c r="AP26" s="2"/>
      <c r="AQ26" s="2"/>
      <c r="AR26" s="2"/>
      <c r="AS26" s="2"/>
      <c r="AT26" s="14"/>
    </row>
    <row r="27" spans="1:91" ht="15" customHeight="1">
      <c r="C27" s="2" t="s">
        <v>41</v>
      </c>
    </row>
    <row r="28" spans="1:91" ht="15" customHeight="1">
      <c r="C28" s="2" t="s">
        <v>42</v>
      </c>
    </row>
    <row r="29" spans="1:91" s="198" customFormat="1" ht="15" customHeight="1">
      <c r="A29" s="2"/>
      <c r="B29" s="2"/>
      <c r="C29" s="2" t="s">
        <v>43</v>
      </c>
      <c r="E29" s="2"/>
      <c r="F29" s="110"/>
      <c r="G29" s="110"/>
      <c r="H29" s="110"/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0"/>
      <c r="AD29" s="110"/>
      <c r="AE29" s="110"/>
      <c r="AF29" s="110"/>
      <c r="AG29" s="110"/>
      <c r="AH29" s="111"/>
      <c r="AI29" s="111"/>
      <c r="AJ29" s="111"/>
      <c r="AK29" s="2"/>
      <c r="AL29" s="2"/>
      <c r="AM29" s="87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98" customFormat="1" ht="15" customHeight="1">
      <c r="A30" s="2"/>
      <c r="B30" s="2"/>
      <c r="C30" s="2" t="s">
        <v>44</v>
      </c>
      <c r="E30" s="2"/>
      <c r="F30" s="110"/>
      <c r="G30" s="110"/>
      <c r="H30" s="110"/>
      <c r="I30" s="110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  <c r="AA30" s="110"/>
      <c r="AB30" s="110"/>
      <c r="AC30" s="110"/>
      <c r="AD30" s="110"/>
      <c r="AE30" s="110"/>
      <c r="AF30" s="110"/>
      <c r="AG30" s="110"/>
      <c r="AH30" s="111"/>
      <c r="AI30" s="111"/>
      <c r="AJ30" s="111"/>
      <c r="AK30" s="2"/>
      <c r="AL30" s="2"/>
      <c r="AM30" s="87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98" customFormat="1" ht="15" customHeight="1">
      <c r="A31" s="2"/>
      <c r="B31" s="2"/>
      <c r="C31" s="2" t="s">
        <v>45</v>
      </c>
      <c r="E31" s="2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  <c r="AE31" s="110"/>
      <c r="AF31" s="110"/>
      <c r="AG31" s="110"/>
      <c r="AH31" s="111"/>
      <c r="AI31" s="111"/>
      <c r="AJ31" s="111"/>
      <c r="AK31" s="2"/>
      <c r="AL31" s="2"/>
      <c r="AM31" s="87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98" customFormat="1" ht="15" customHeight="1">
      <c r="A32" s="2"/>
      <c r="B32" s="2"/>
      <c r="C32" s="2" t="s">
        <v>46</v>
      </c>
      <c r="E32" s="2"/>
      <c r="F32" s="110"/>
      <c r="G32" s="110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0"/>
      <c r="AG32" s="110"/>
      <c r="AH32" s="111"/>
      <c r="AI32" s="111"/>
      <c r="AJ32" s="111"/>
      <c r="AK32" s="2"/>
      <c r="AL32" s="2"/>
      <c r="AM32" s="87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98" customFormat="1" ht="15" customHeight="1">
      <c r="A33" s="2"/>
      <c r="B33" s="2"/>
      <c r="C33" s="2" t="s">
        <v>47</v>
      </c>
      <c r="E33" s="2"/>
      <c r="F33" s="110"/>
      <c r="G33" s="110"/>
      <c r="H33" s="110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  <c r="AA33" s="110"/>
      <c r="AB33" s="110"/>
      <c r="AC33" s="110"/>
      <c r="AD33" s="110"/>
      <c r="AE33" s="110"/>
      <c r="AF33" s="110"/>
      <c r="AG33" s="110"/>
      <c r="AH33" s="111"/>
      <c r="AI33" s="111"/>
      <c r="AJ33" s="111"/>
      <c r="AK33" s="2"/>
      <c r="AL33" s="2"/>
      <c r="AM33" s="87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98" customFormat="1" ht="15" customHeight="1">
      <c r="A34" s="2"/>
      <c r="B34" s="2"/>
      <c r="C34" s="2" t="s">
        <v>48</v>
      </c>
      <c r="E34" s="2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1"/>
      <c r="AI34" s="111"/>
      <c r="AJ34" s="111"/>
      <c r="AK34" s="2"/>
      <c r="AL34" s="2"/>
      <c r="AM34" s="87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20:J23 Q18:Q19" name="Range1_1_1_1"/>
    <protectedRange password="CC78" sqref="J24" name="Range1_3_1_1"/>
    <protectedRange password="CC78" sqref="A12:A17" name="Range1_1_2"/>
    <protectedRange password="CC78" sqref="A12:A17 C12:E17" name="Range1_6_2"/>
    <protectedRange password="CC78" sqref="B12:B17" name="Range1_4_2"/>
  </protectedRanges>
  <mergeCells count="66">
    <mergeCell ref="AP14:AP15"/>
    <mergeCell ref="AQ14:AQ15"/>
    <mergeCell ref="AR14:AR15"/>
    <mergeCell ref="AS14:AS15"/>
    <mergeCell ref="D14:D15"/>
    <mergeCell ref="AK14:AK15"/>
    <mergeCell ref="AL14:AL15"/>
    <mergeCell ref="AM14:AM15"/>
    <mergeCell ref="AN14:AN15"/>
    <mergeCell ref="A16:A17"/>
    <mergeCell ref="B16:B17"/>
    <mergeCell ref="C16:C17"/>
    <mergeCell ref="D16:D17"/>
    <mergeCell ref="AK16:AK17"/>
    <mergeCell ref="AQ16:AQ17"/>
    <mergeCell ref="AR16:AR17"/>
    <mergeCell ref="AS16:AS17"/>
    <mergeCell ref="AL12:AL13"/>
    <mergeCell ref="AM12:AM13"/>
    <mergeCell ref="AN12:AN13"/>
    <mergeCell ref="AO12:AO13"/>
    <mergeCell ref="AP12:AP13"/>
    <mergeCell ref="AR12:AR13"/>
    <mergeCell ref="AS12:AS13"/>
    <mergeCell ref="AL16:AL17"/>
    <mergeCell ref="AM16:AM17"/>
    <mergeCell ref="AN16:AN17"/>
    <mergeCell ref="AO16:AO17"/>
    <mergeCell ref="AP16:AP17"/>
    <mergeCell ref="AO14:AO15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D12:D13"/>
    <mergeCell ref="AK12:AK13"/>
    <mergeCell ref="AQ12:AQ13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12:A13"/>
    <mergeCell ref="B12:B13"/>
    <mergeCell ref="C12:C13"/>
    <mergeCell ref="A14:A15"/>
    <mergeCell ref="B14:B15"/>
    <mergeCell ref="C14:C15"/>
  </mergeCells>
  <conditionalFormatting sqref="F5:AJ6 F9:AJ10 F12:AJ17">
    <cfRule type="expression" dxfId="2" priority="43" stopIfTrue="1">
      <formula>IF(WEEKDAY(F$5)=1,TRUE,FALSE)</formula>
    </cfRule>
  </conditionalFormatting>
  <conditionalFormatting sqref="F9:AJ10">
    <cfRule type="expression" dxfId="1" priority="42" stopIfTrue="1">
      <formula>IF(WEEKDAY(F$5)=1,TRUE,FALSE)</formula>
    </cfRule>
  </conditionalFormatting>
  <conditionalFormatting sqref="F12:AJ17">
    <cfRule type="expression" dxfId="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29"/>
  <sheetViews>
    <sheetView zoomScaleNormal="70" workbookViewId="0">
      <pane xSplit="3" ySplit="8" topLeftCell="D12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B15" sqref="B15:B16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78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26"/>
      <c r="B1" s="201"/>
      <c r="C1" s="201"/>
      <c r="D1" s="273" t="str">
        <f>"BẢNG THANH TOÁN LƯƠNG THÁNG"&amp;" "&amp;TEXT($E$4,"mm")&amp;" / "&amp;TEXT($E$4,"yyyy")</f>
        <v>BẢNG THANH TOÁN LƯƠNG THÁNG 12 / 2017</v>
      </c>
      <c r="E1" s="273"/>
      <c r="F1" s="273"/>
      <c r="G1" s="273"/>
      <c r="H1" s="273"/>
      <c r="I1" s="273"/>
      <c r="J1" s="273"/>
      <c r="K1" s="273"/>
      <c r="L1" s="273"/>
      <c r="M1" s="273"/>
      <c r="N1" s="273"/>
      <c r="O1" s="273"/>
      <c r="P1" s="273"/>
      <c r="Q1" s="274"/>
      <c r="R1" s="275" t="s">
        <v>79</v>
      </c>
      <c r="S1" s="276"/>
      <c r="T1" s="277"/>
      <c r="U1" s="117" t="s">
        <v>51</v>
      </c>
      <c r="V1" s="97" t="s">
        <v>33</v>
      </c>
      <c r="W1" s="70"/>
      <c r="X1" s="70"/>
      <c r="Y1" s="5"/>
      <c r="Z1" s="5"/>
    </row>
    <row r="2" spans="1:31" s="4" customFormat="1" ht="15" customHeight="1">
      <c r="A2" s="126"/>
      <c r="B2" s="201"/>
      <c r="C2" s="201"/>
      <c r="D2" s="201"/>
      <c r="E2" s="68"/>
      <c r="F2" s="201"/>
      <c r="G2" s="201"/>
      <c r="H2" s="201"/>
      <c r="I2" s="201"/>
      <c r="J2" s="69"/>
      <c r="K2" s="201"/>
      <c r="L2" s="201"/>
      <c r="M2" s="201"/>
      <c r="N2" s="201"/>
      <c r="O2" s="201"/>
      <c r="P2" s="201"/>
      <c r="Q2" s="201"/>
      <c r="R2" s="201"/>
      <c r="S2" s="201"/>
      <c r="T2" s="46"/>
      <c r="U2" s="67">
        <f>MAX(F10:F18)</f>
        <v>26</v>
      </c>
      <c r="V2" s="98">
        <v>31</v>
      </c>
      <c r="W2" s="70"/>
      <c r="X2" s="70"/>
      <c r="Y2" s="5"/>
      <c r="Z2" s="5"/>
    </row>
    <row r="3" spans="1:31" s="4" customFormat="1" ht="15" customHeight="1">
      <c r="A3" s="126"/>
      <c r="B3" s="201"/>
      <c r="C3" s="201"/>
      <c r="D3" s="201"/>
      <c r="E3" s="68"/>
      <c r="F3" s="201"/>
      <c r="G3" s="201"/>
      <c r="H3" s="201"/>
      <c r="I3" s="201"/>
      <c r="J3" s="69"/>
      <c r="K3" s="201"/>
      <c r="L3" s="201"/>
      <c r="M3" s="201"/>
      <c r="N3" s="201"/>
      <c r="O3" s="201"/>
      <c r="P3" s="201"/>
      <c r="Q3" s="201"/>
      <c r="R3" s="201"/>
      <c r="S3" s="201"/>
      <c r="T3" s="46"/>
      <c r="U3" s="118"/>
      <c r="V3" s="119"/>
      <c r="W3" s="70"/>
      <c r="X3" s="70"/>
      <c r="Y3" s="5"/>
      <c r="Z3" s="5"/>
    </row>
    <row r="4" spans="1:31" s="92" customFormat="1" ht="14.25" customHeight="1">
      <c r="A4" s="90"/>
      <c r="B4" s="91"/>
      <c r="C4" s="91"/>
      <c r="D4" s="91"/>
      <c r="E4" s="175">
        <f>'CC -12'!$E$4</f>
        <v>43070</v>
      </c>
      <c r="F4" s="91"/>
      <c r="G4" s="91"/>
      <c r="H4" s="91"/>
      <c r="I4" s="91"/>
      <c r="J4" s="91"/>
      <c r="K4" s="91"/>
      <c r="L4" s="91"/>
      <c r="M4" s="91"/>
      <c r="N4" s="148">
        <v>0.08</v>
      </c>
      <c r="O4" s="148">
        <v>1.4999999999999999E-2</v>
      </c>
      <c r="P4" s="148">
        <v>0.01</v>
      </c>
      <c r="Q4" s="91"/>
      <c r="R4" s="91"/>
      <c r="S4" s="91"/>
      <c r="T4" s="91"/>
      <c r="U4" s="91"/>
      <c r="V4" s="93"/>
      <c r="W4" s="93"/>
      <c r="X4" s="93"/>
      <c r="Y4" s="93"/>
      <c r="Z4" s="93"/>
    </row>
    <row r="5" spans="1:31" s="21" customFormat="1" ht="24" customHeight="1">
      <c r="A5" s="278" t="s">
        <v>19</v>
      </c>
      <c r="B5" s="278" t="s">
        <v>20</v>
      </c>
      <c r="C5" s="232" t="s">
        <v>1</v>
      </c>
      <c r="D5" s="232" t="s">
        <v>2</v>
      </c>
      <c r="E5" s="235" t="s">
        <v>49</v>
      </c>
      <c r="F5" s="280" t="s">
        <v>24</v>
      </c>
      <c r="G5" s="281"/>
      <c r="H5" s="281"/>
      <c r="I5" s="281"/>
      <c r="J5" s="281"/>
      <c r="K5" s="282"/>
      <c r="L5" s="269" t="s">
        <v>50</v>
      </c>
      <c r="M5" s="269" t="s">
        <v>5</v>
      </c>
      <c r="N5" s="232" t="s">
        <v>6</v>
      </c>
      <c r="O5" s="232"/>
      <c r="P5" s="232"/>
      <c r="Q5" s="269" t="s">
        <v>7</v>
      </c>
      <c r="R5" s="269" t="s">
        <v>8</v>
      </c>
      <c r="S5" s="269" t="s">
        <v>9</v>
      </c>
      <c r="T5" s="233" t="s">
        <v>10</v>
      </c>
      <c r="U5" s="91"/>
      <c r="V5" s="22"/>
      <c r="W5" s="22"/>
      <c r="X5" s="5"/>
      <c r="Y5" s="5"/>
      <c r="Z5" s="5"/>
      <c r="AA5" s="4"/>
      <c r="AB5" s="4"/>
      <c r="AC5" s="4"/>
      <c r="AD5" s="4"/>
      <c r="AE5" s="4"/>
    </row>
    <row r="6" spans="1:31" s="21" customFormat="1" ht="33.75" customHeight="1">
      <c r="A6" s="279"/>
      <c r="B6" s="279"/>
      <c r="C6" s="232"/>
      <c r="D6" s="232"/>
      <c r="E6" s="235"/>
      <c r="F6" s="280" t="s">
        <v>52</v>
      </c>
      <c r="G6" s="282"/>
      <c r="H6" s="280" t="s">
        <v>71</v>
      </c>
      <c r="I6" s="281"/>
      <c r="J6" s="267" t="s">
        <v>25</v>
      </c>
      <c r="K6" s="269" t="s">
        <v>4</v>
      </c>
      <c r="L6" s="270"/>
      <c r="M6" s="270"/>
      <c r="N6" s="271" t="s">
        <v>12</v>
      </c>
      <c r="O6" s="269" t="s">
        <v>13</v>
      </c>
      <c r="P6" s="269" t="s">
        <v>31</v>
      </c>
      <c r="Q6" s="270"/>
      <c r="R6" s="270"/>
      <c r="S6" s="270"/>
      <c r="T6" s="234"/>
      <c r="U6" s="91"/>
      <c r="V6" s="22"/>
      <c r="W6" s="22"/>
      <c r="X6" s="5"/>
      <c r="Y6" s="5"/>
      <c r="Z6" s="5"/>
      <c r="AA6" s="4"/>
      <c r="AB6" s="4"/>
      <c r="AC6" s="4"/>
      <c r="AD6" s="4"/>
      <c r="AE6" s="4"/>
    </row>
    <row r="7" spans="1:31" s="21" customFormat="1" ht="35.25" customHeight="1">
      <c r="A7" s="279"/>
      <c r="B7" s="279"/>
      <c r="C7" s="269"/>
      <c r="D7" s="269"/>
      <c r="E7" s="235"/>
      <c r="F7" s="202" t="s">
        <v>34</v>
      </c>
      <c r="G7" s="199" t="s">
        <v>18</v>
      </c>
      <c r="H7" s="202" t="s">
        <v>34</v>
      </c>
      <c r="I7" s="115" t="s">
        <v>18</v>
      </c>
      <c r="J7" s="268"/>
      <c r="K7" s="270"/>
      <c r="L7" s="283"/>
      <c r="M7" s="283"/>
      <c r="N7" s="272"/>
      <c r="O7" s="270"/>
      <c r="P7" s="270"/>
      <c r="Q7" s="270"/>
      <c r="R7" s="270"/>
      <c r="S7" s="270"/>
      <c r="T7" s="234"/>
      <c r="U7" s="91"/>
      <c r="V7" s="22"/>
      <c r="W7" s="22"/>
      <c r="X7" s="5"/>
      <c r="Y7" s="5"/>
      <c r="Z7" s="5"/>
      <c r="AA7" s="4"/>
      <c r="AB7" s="4"/>
      <c r="AC7" s="4"/>
      <c r="AD7" s="4"/>
      <c r="AE7" s="4"/>
    </row>
    <row r="8" spans="1:31" s="72" customFormat="1" ht="12.75" customHeight="1">
      <c r="A8" s="71">
        <v>1</v>
      </c>
      <c r="B8" s="71">
        <v>1</v>
      </c>
      <c r="C8" s="71">
        <v>2</v>
      </c>
      <c r="D8" s="71">
        <v>3</v>
      </c>
      <c r="E8" s="71">
        <v>4</v>
      </c>
      <c r="F8" s="71">
        <v>5</v>
      </c>
      <c r="G8" s="71">
        <v>6</v>
      </c>
      <c r="H8" s="71">
        <v>7</v>
      </c>
      <c r="I8" s="71">
        <v>8</v>
      </c>
      <c r="J8" s="71">
        <v>9</v>
      </c>
      <c r="K8" s="71">
        <v>10</v>
      </c>
      <c r="L8" s="71">
        <v>11</v>
      </c>
      <c r="M8" s="71">
        <v>12</v>
      </c>
      <c r="N8" s="71">
        <v>13</v>
      </c>
      <c r="O8" s="71">
        <v>14</v>
      </c>
      <c r="P8" s="71">
        <v>15</v>
      </c>
      <c r="Q8" s="71">
        <v>16</v>
      </c>
      <c r="R8" s="71">
        <v>17</v>
      </c>
      <c r="S8" s="71">
        <v>18</v>
      </c>
      <c r="T8" s="71">
        <v>19</v>
      </c>
      <c r="U8" s="91"/>
      <c r="V8" s="73"/>
      <c r="W8" s="73"/>
      <c r="X8" s="74"/>
      <c r="Y8" s="74"/>
      <c r="Z8" s="74"/>
      <c r="AA8" s="75"/>
      <c r="AB8" s="75"/>
      <c r="AC8" s="75"/>
      <c r="AD8" s="75"/>
      <c r="AE8" s="75"/>
    </row>
    <row r="9" spans="1:31" s="72" customFormat="1" ht="24" customHeight="1">
      <c r="A9" s="174" t="s">
        <v>68</v>
      </c>
      <c r="B9" s="173" t="s">
        <v>80</v>
      </c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2"/>
      <c r="Q9" s="172"/>
      <c r="R9" s="172"/>
      <c r="S9" s="172"/>
      <c r="T9" s="172"/>
      <c r="U9" s="91"/>
      <c r="V9" s="73"/>
      <c r="W9" s="73"/>
      <c r="X9" s="74"/>
      <c r="Y9" s="74"/>
      <c r="Z9" s="74"/>
      <c r="AA9" s="75"/>
      <c r="AB9" s="75"/>
      <c r="AC9" s="75"/>
      <c r="AD9" s="75"/>
      <c r="AE9" s="75"/>
    </row>
    <row r="10" spans="1:31" s="29" customFormat="1" ht="24" customHeight="1">
      <c r="A10" s="31">
        <v>1</v>
      </c>
      <c r="B10" s="128" t="s">
        <v>74</v>
      </c>
      <c r="C10" s="76" t="str">
        <f t="shared" ref="C10" si="0">VLOOKUP(B10,DS,2,0)</f>
        <v>Nguyễn Thị Kim Quyên</v>
      </c>
      <c r="D10" s="103" t="str">
        <f t="shared" ref="D10" si="1">VLOOKUP(B10,DS,3,0)</f>
        <v>Văn Phòng</v>
      </c>
      <c r="E10" s="77">
        <f t="shared" ref="E10" si="2">VLOOKUP(B10,DS,4,0)</f>
        <v>4000000</v>
      </c>
      <c r="F10" s="79">
        <f>VLOOKUP(B10,'CC -12'!$B$8:$AS$17,36,0)</f>
        <v>26</v>
      </c>
      <c r="G10" s="132">
        <f t="shared" ref="G10" si="3">ROUND(E10/$U$2*F10,0)</f>
        <v>4000000</v>
      </c>
      <c r="H10" s="79">
        <f>(VLOOKUP(B10,'CC -12'!$B$8:$AS$17,37,0)+VLOOKUP(B10,'CC -12'!$B$8:$AS$17,38,0))</f>
        <v>0</v>
      </c>
      <c r="I10" s="132">
        <f t="shared" ref="I10" si="4">ROUND(E10/$U$2*H10,0)</f>
        <v>0</v>
      </c>
      <c r="J10" s="80">
        <f t="shared" ref="J10" si="5">F10+H10</f>
        <v>26</v>
      </c>
      <c r="K10" s="32">
        <f>G10+I10</f>
        <v>4000000</v>
      </c>
      <c r="L10" s="77">
        <f t="shared" ref="L10" si="6">+F10*15000</f>
        <v>390000</v>
      </c>
      <c r="M10" s="33">
        <f t="shared" ref="M10" si="7">K10+L10</f>
        <v>4390000</v>
      </c>
      <c r="N10" s="33">
        <f>IF(VLOOKUP($B10,DS,31,0)="x",$E10*N$4,0)</f>
        <v>0</v>
      </c>
      <c r="O10" s="33">
        <f>IF(VLOOKUP($B10,DS,31,0)="x",$E10*O$4,0)</f>
        <v>0</v>
      </c>
      <c r="P10" s="33">
        <f>IF(VLOOKUP($B10,DS,31,0)="x",$E10*P$4,0)</f>
        <v>0</v>
      </c>
      <c r="Q10" s="32">
        <f t="shared" ref="Q10" si="8">M10-SUM(N10:P10)</f>
        <v>4390000</v>
      </c>
      <c r="R10" s="32">
        <f>VLOOKUP(B10,DS,23,0)</f>
        <v>0</v>
      </c>
      <c r="S10" s="38">
        <f t="shared" ref="S10" si="9">Q10-R10</f>
        <v>4390000</v>
      </c>
      <c r="T10" s="32"/>
      <c r="U10" s="91"/>
      <c r="V10" s="30"/>
      <c r="W10" s="22"/>
      <c r="X10" s="5"/>
      <c r="Y10" s="5"/>
      <c r="Z10" s="5"/>
      <c r="AA10" s="4"/>
      <c r="AB10" s="4"/>
      <c r="AC10" s="4"/>
      <c r="AD10" s="4"/>
      <c r="AE10" s="4"/>
    </row>
    <row r="11" spans="1:31" s="29" customFormat="1" ht="24" customHeight="1">
      <c r="A11" s="187"/>
      <c r="B11" s="188"/>
      <c r="C11" s="189"/>
      <c r="D11" s="190"/>
      <c r="E11" s="191"/>
      <c r="F11" s="192"/>
      <c r="G11" s="193"/>
      <c r="H11" s="192"/>
      <c r="I11" s="193"/>
      <c r="J11" s="194"/>
      <c r="K11" s="195"/>
      <c r="L11" s="191"/>
      <c r="M11" s="196"/>
      <c r="N11" s="196"/>
      <c r="O11" s="196"/>
      <c r="P11" s="196"/>
      <c r="Q11" s="195"/>
      <c r="R11" s="195"/>
      <c r="S11" s="197"/>
      <c r="T11" s="195"/>
      <c r="U11" s="91"/>
      <c r="V11" s="30"/>
      <c r="W11" s="22"/>
      <c r="X11" s="5"/>
      <c r="Y11" s="5"/>
      <c r="Z11" s="5"/>
      <c r="AA11" s="4"/>
      <c r="AB11" s="4"/>
      <c r="AC11" s="4"/>
      <c r="AD11" s="4"/>
      <c r="AE11" s="4"/>
    </row>
    <row r="12" spans="1:31" s="25" customFormat="1" ht="21" customHeight="1">
      <c r="A12" s="221" t="s">
        <v>23</v>
      </c>
      <c r="B12" s="222"/>
      <c r="C12" s="222"/>
      <c r="D12" s="223"/>
      <c r="E12" s="127">
        <f>SUM(E9:E11)</f>
        <v>4000000</v>
      </c>
      <c r="F12" s="127"/>
      <c r="G12" s="127">
        <f>SUM(G9:G11)</f>
        <v>4000000</v>
      </c>
      <c r="H12" s="127"/>
      <c r="I12" s="127">
        <f>SUM(I9:I11)</f>
        <v>0</v>
      </c>
      <c r="J12" s="127"/>
      <c r="K12" s="127">
        <f t="shared" ref="K12:S12" si="10">SUM(K9:K11)</f>
        <v>4000000</v>
      </c>
      <c r="L12" s="127">
        <f t="shared" si="10"/>
        <v>390000</v>
      </c>
      <c r="M12" s="127">
        <f t="shared" si="10"/>
        <v>4390000</v>
      </c>
      <c r="N12" s="127">
        <f t="shared" si="10"/>
        <v>0</v>
      </c>
      <c r="O12" s="127">
        <f t="shared" si="10"/>
        <v>0</v>
      </c>
      <c r="P12" s="127">
        <f t="shared" si="10"/>
        <v>0</v>
      </c>
      <c r="Q12" s="127">
        <f t="shared" si="10"/>
        <v>4390000</v>
      </c>
      <c r="R12" s="127">
        <f t="shared" si="10"/>
        <v>0</v>
      </c>
      <c r="S12" s="127">
        <f t="shared" si="10"/>
        <v>4390000</v>
      </c>
      <c r="T12" s="20"/>
      <c r="U12" s="91"/>
      <c r="V12" s="26"/>
      <c r="W12" s="26"/>
      <c r="X12" s="26"/>
      <c r="Y12" s="26"/>
      <c r="Z12" s="26"/>
    </row>
    <row r="13" spans="1:31" s="72" customFormat="1" ht="24" customHeight="1">
      <c r="A13" s="174" t="s">
        <v>69</v>
      </c>
      <c r="B13" s="173" t="s">
        <v>70</v>
      </c>
      <c r="C13" s="172"/>
      <c r="D13" s="172"/>
      <c r="E13" s="172"/>
      <c r="F13" s="172"/>
      <c r="G13" s="172"/>
      <c r="H13" s="172"/>
      <c r="I13" s="172"/>
      <c r="J13" s="172"/>
      <c r="K13" s="172"/>
      <c r="L13" s="172"/>
      <c r="M13" s="172"/>
      <c r="N13" s="172"/>
      <c r="O13" s="172"/>
      <c r="P13" s="172"/>
      <c r="Q13" s="172"/>
      <c r="R13" s="172"/>
      <c r="S13" s="172"/>
      <c r="T13" s="172"/>
      <c r="U13" s="91"/>
      <c r="V13" s="73"/>
      <c r="W13" s="73"/>
      <c r="X13" s="74"/>
      <c r="Y13" s="74"/>
      <c r="Z13" s="74"/>
      <c r="AA13" s="75"/>
      <c r="AB13" s="75"/>
      <c r="AC13" s="75"/>
      <c r="AD13" s="75"/>
      <c r="AE13" s="75"/>
    </row>
    <row r="14" spans="1:31" s="29" customFormat="1" ht="24" customHeight="1">
      <c r="A14" s="31">
        <v>1</v>
      </c>
      <c r="B14" s="128" t="s">
        <v>75</v>
      </c>
      <c r="C14" s="76" t="str">
        <f t="shared" ref="C14:C16" si="11">VLOOKUP(B14,DS,2,0)</f>
        <v>Lê Văn Hữu</v>
      </c>
      <c r="D14" s="103" t="str">
        <f t="shared" ref="D14:D16" si="12">VLOOKUP(B14,DS,3,0)</f>
        <v>Công Đoạn 1</v>
      </c>
      <c r="E14" s="77">
        <f t="shared" ref="E14:E16" si="13">VLOOKUP(B14,DS,4,0)</f>
        <v>3200000</v>
      </c>
      <c r="F14" s="79">
        <f>VLOOKUP(B14,'CC -12'!$B$8:$AS$17,36,0)</f>
        <v>26</v>
      </c>
      <c r="G14" s="132">
        <f t="shared" ref="G14:G16" si="14">ROUND(E14/$U$2*F14,0)</f>
        <v>3200000</v>
      </c>
      <c r="H14" s="79">
        <f>(VLOOKUP(B14,'CC -12'!$B$8:$AS$17,37,0)+VLOOKUP(B14,'CC -12'!$B$8:$AS$17,38,0))</f>
        <v>0</v>
      </c>
      <c r="I14" s="132">
        <f t="shared" ref="I14:I16" si="15">ROUND(E14/$U$2*H14,0)</f>
        <v>0</v>
      </c>
      <c r="J14" s="133">
        <f t="shared" ref="J14:K16" si="16">F14+H14</f>
        <v>26</v>
      </c>
      <c r="K14" s="32">
        <f t="shared" si="16"/>
        <v>3200000</v>
      </c>
      <c r="L14" s="77">
        <f t="shared" ref="L14:L16" si="17">+F14*15000</f>
        <v>390000</v>
      </c>
      <c r="M14" s="33">
        <f t="shared" ref="M14:M16" si="18">K14+L14</f>
        <v>3590000</v>
      </c>
      <c r="N14" s="33">
        <f t="shared" ref="N14:P16" si="19">IF(VLOOKUP($B14,DS,31,0)="x",$E14*N$4,0)</f>
        <v>0</v>
      </c>
      <c r="O14" s="33">
        <f t="shared" si="19"/>
        <v>0</v>
      </c>
      <c r="P14" s="33">
        <f t="shared" si="19"/>
        <v>0</v>
      </c>
      <c r="Q14" s="32">
        <f>M14-SUM(N14:P14)</f>
        <v>3590000</v>
      </c>
      <c r="R14" s="32">
        <f t="shared" ref="R14:R16" si="20">VLOOKUP(B14,DS,23,0)</f>
        <v>0</v>
      </c>
      <c r="S14" s="38">
        <f>Q14-R14</f>
        <v>3590000</v>
      </c>
      <c r="T14" s="32"/>
      <c r="U14" s="91"/>
      <c r="V14" s="30"/>
      <c r="W14" s="22"/>
      <c r="X14" s="5"/>
      <c r="Y14" s="5"/>
      <c r="Z14" s="5"/>
      <c r="AA14" s="4"/>
      <c r="AB14" s="4"/>
      <c r="AC14" s="4"/>
      <c r="AD14" s="4"/>
      <c r="AE14" s="4"/>
    </row>
    <row r="15" spans="1:31" s="29" customFormat="1" ht="24" customHeight="1">
      <c r="A15" s="31">
        <v>2</v>
      </c>
      <c r="B15" s="128" t="s">
        <v>76</v>
      </c>
      <c r="C15" s="76" t="str">
        <f t="shared" ref="C15" si="21">VLOOKUP(B15,DS,2,0)</f>
        <v>Lý Thanh Hải</v>
      </c>
      <c r="D15" s="103" t="str">
        <f t="shared" ref="D15" si="22">VLOOKUP(B15,DS,3,0)</f>
        <v>Công Đoạn 1</v>
      </c>
      <c r="E15" s="77">
        <f t="shared" ref="E15" si="23">VLOOKUP(B15,DS,4,0)</f>
        <v>5000000</v>
      </c>
      <c r="F15" s="79">
        <f>VLOOKUP(B15,'CC -12'!$B$8:$AS$17,36,0)</f>
        <v>26</v>
      </c>
      <c r="G15" s="132">
        <f t="shared" ref="G15" si="24">ROUND(E15/$U$2*F15,0)</f>
        <v>5000000</v>
      </c>
      <c r="H15" s="79">
        <f>(VLOOKUP(B15,'CC -12'!$B$8:$AS$17,37,0)+VLOOKUP(B15,'CC -12'!$B$8:$AS$17,38,0))</f>
        <v>0</v>
      </c>
      <c r="I15" s="132">
        <f t="shared" ref="I15" si="25">ROUND(E15/$U$2*H15,0)</f>
        <v>0</v>
      </c>
      <c r="J15" s="133">
        <f t="shared" ref="J15" si="26">F15+H15</f>
        <v>26</v>
      </c>
      <c r="K15" s="32">
        <f t="shared" ref="K15" si="27">G15+I15</f>
        <v>5000000</v>
      </c>
      <c r="L15" s="77">
        <f t="shared" ref="L15" si="28">+F15*15000</f>
        <v>390000</v>
      </c>
      <c r="M15" s="33">
        <f t="shared" ref="M15" si="29">K15+L15</f>
        <v>5390000</v>
      </c>
      <c r="N15" s="33">
        <f t="shared" si="19"/>
        <v>0</v>
      </c>
      <c r="O15" s="33">
        <f t="shared" si="19"/>
        <v>0</v>
      </c>
      <c r="P15" s="33">
        <f t="shared" si="19"/>
        <v>0</v>
      </c>
      <c r="Q15" s="32">
        <f t="shared" ref="Q15" si="30">M15-SUM(N15:P15)</f>
        <v>5390000</v>
      </c>
      <c r="R15" s="32">
        <f t="shared" ref="R15" si="31">VLOOKUP(B15,DS,23,0)</f>
        <v>0</v>
      </c>
      <c r="S15" s="38">
        <f t="shared" ref="S15" si="32">Q15-R15</f>
        <v>5390000</v>
      </c>
      <c r="T15" s="32"/>
      <c r="U15" s="91"/>
      <c r="V15" s="30"/>
      <c r="W15" s="22"/>
      <c r="X15" s="5"/>
      <c r="Y15" s="5"/>
      <c r="Z15" s="5"/>
      <c r="AA15" s="4"/>
      <c r="AB15" s="4"/>
      <c r="AC15" s="4"/>
      <c r="AD15" s="4"/>
      <c r="AE15" s="4"/>
    </row>
    <row r="16" spans="1:31" s="29" customFormat="1" ht="24" customHeight="1">
      <c r="A16" s="31">
        <v>3</v>
      </c>
      <c r="B16" s="128" t="s">
        <v>77</v>
      </c>
      <c r="C16" s="76" t="str">
        <f t="shared" si="11"/>
        <v>Cao Minh Chí</v>
      </c>
      <c r="D16" s="103" t="str">
        <f t="shared" si="12"/>
        <v>Công Đoạn 2</v>
      </c>
      <c r="E16" s="77">
        <f t="shared" si="13"/>
        <v>3200000</v>
      </c>
      <c r="F16" s="79">
        <f>VLOOKUP(B16,'CC -12'!$B$8:$AS$17,36,0)</f>
        <v>26</v>
      </c>
      <c r="G16" s="132">
        <f t="shared" si="14"/>
        <v>3200000</v>
      </c>
      <c r="H16" s="79">
        <f>(VLOOKUP(B16,'CC -12'!$B$8:$AS$17,37,0)+VLOOKUP(B16,'CC -12'!$B$8:$AS$17,38,0))</f>
        <v>0</v>
      </c>
      <c r="I16" s="132">
        <f t="shared" si="15"/>
        <v>0</v>
      </c>
      <c r="J16" s="133">
        <f t="shared" si="16"/>
        <v>26</v>
      </c>
      <c r="K16" s="32">
        <f t="shared" si="16"/>
        <v>3200000</v>
      </c>
      <c r="L16" s="77">
        <f t="shared" si="17"/>
        <v>390000</v>
      </c>
      <c r="M16" s="33">
        <f t="shared" si="18"/>
        <v>3590000</v>
      </c>
      <c r="N16" s="33">
        <f t="shared" si="19"/>
        <v>0</v>
      </c>
      <c r="O16" s="33">
        <f t="shared" si="19"/>
        <v>0</v>
      </c>
      <c r="P16" s="33">
        <f t="shared" si="19"/>
        <v>0</v>
      </c>
      <c r="Q16" s="32">
        <f t="shared" ref="Q16" si="33">M16-SUM(N16:P16)</f>
        <v>3590000</v>
      </c>
      <c r="R16" s="32">
        <f t="shared" si="20"/>
        <v>0</v>
      </c>
      <c r="S16" s="38">
        <f t="shared" ref="S16" si="34">Q16-R16</f>
        <v>3590000</v>
      </c>
      <c r="T16" s="32"/>
      <c r="U16" s="91"/>
      <c r="V16" s="30"/>
      <c r="W16" s="22"/>
      <c r="X16" s="5"/>
      <c r="Y16" s="5"/>
      <c r="Z16" s="5"/>
      <c r="AA16" s="4"/>
      <c r="AB16" s="4"/>
      <c r="AC16" s="4"/>
      <c r="AD16" s="4"/>
      <c r="AE16" s="4"/>
    </row>
    <row r="17" spans="1:26" s="29" customFormat="1" ht="22.5" customHeight="1">
      <c r="A17" s="34"/>
      <c r="B17" s="171"/>
      <c r="C17" s="35"/>
      <c r="D17" s="3"/>
      <c r="E17" s="36"/>
      <c r="F17" s="36"/>
      <c r="G17" s="36"/>
      <c r="H17" s="36"/>
      <c r="I17" s="36"/>
      <c r="J17" s="37"/>
      <c r="K17" s="36"/>
      <c r="L17" s="36"/>
      <c r="M17" s="170"/>
      <c r="N17" s="36"/>
      <c r="O17" s="36"/>
      <c r="P17" s="36"/>
      <c r="Q17" s="36"/>
      <c r="R17" s="36"/>
      <c r="S17" s="36"/>
      <c r="T17" s="32"/>
      <c r="U17" s="91"/>
      <c r="V17" s="30"/>
      <c r="W17" s="30"/>
      <c r="X17" s="30"/>
      <c r="Y17" s="30"/>
      <c r="Z17" s="30"/>
    </row>
    <row r="18" spans="1:26" s="25" customFormat="1" ht="21" customHeight="1">
      <c r="A18" s="221" t="s">
        <v>23</v>
      </c>
      <c r="B18" s="222"/>
      <c r="C18" s="222"/>
      <c r="D18" s="223"/>
      <c r="E18" s="127">
        <f>SUM(E13:E17)</f>
        <v>11400000</v>
      </c>
      <c r="F18" s="127"/>
      <c r="G18" s="127">
        <f>SUM(G13:G17)</f>
        <v>11400000</v>
      </c>
      <c r="H18" s="127"/>
      <c r="I18" s="127">
        <f>SUM(I13:I17)</f>
        <v>0</v>
      </c>
      <c r="J18" s="127"/>
      <c r="K18" s="127">
        <f t="shared" ref="K18:S18" si="35">SUM(K13:K17)</f>
        <v>11400000</v>
      </c>
      <c r="L18" s="127">
        <f t="shared" si="35"/>
        <v>1170000</v>
      </c>
      <c r="M18" s="127">
        <f t="shared" si="35"/>
        <v>12570000</v>
      </c>
      <c r="N18" s="127">
        <f t="shared" si="35"/>
        <v>0</v>
      </c>
      <c r="O18" s="127">
        <f t="shared" si="35"/>
        <v>0</v>
      </c>
      <c r="P18" s="127">
        <f t="shared" si="35"/>
        <v>0</v>
      </c>
      <c r="Q18" s="127">
        <f t="shared" si="35"/>
        <v>12570000</v>
      </c>
      <c r="R18" s="127">
        <f t="shared" si="35"/>
        <v>0</v>
      </c>
      <c r="S18" s="127">
        <f t="shared" si="35"/>
        <v>12570000</v>
      </c>
      <c r="T18" s="20"/>
      <c r="U18" s="91"/>
      <c r="V18" s="26"/>
      <c r="W18" s="26"/>
      <c r="X18" s="26"/>
      <c r="Y18" s="26"/>
      <c r="Z18" s="26"/>
    </row>
    <row r="19" spans="1:26" ht="11.25" customHeight="1">
      <c r="A19" s="8"/>
      <c r="B19" s="8"/>
      <c r="C19" s="9"/>
      <c r="D19" s="104"/>
      <c r="E19" s="81"/>
      <c r="F19" s="9"/>
      <c r="G19" s="9"/>
      <c r="H19" s="9"/>
      <c r="I19" s="9"/>
      <c r="K19" s="9"/>
      <c r="L19" s="9"/>
      <c r="M19" s="89"/>
      <c r="N19" s="9"/>
      <c r="O19" s="9"/>
      <c r="P19" s="9"/>
      <c r="Q19" s="9"/>
      <c r="R19" s="9"/>
      <c r="S19" s="9"/>
      <c r="T19" s="9"/>
      <c r="U19" s="91"/>
    </row>
    <row r="20" spans="1:26" s="29" customFormat="1" ht="11.25" customHeight="1">
      <c r="A20" s="65"/>
      <c r="B20" s="65"/>
      <c r="C20" s="65"/>
      <c r="D20" s="120"/>
      <c r="E20" s="121"/>
      <c r="F20" s="65"/>
      <c r="G20" s="65"/>
      <c r="H20" s="65"/>
      <c r="I20" s="65"/>
      <c r="J20" s="122"/>
      <c r="K20" s="121"/>
      <c r="L20" s="65"/>
      <c r="M20" s="65"/>
      <c r="N20" s="65"/>
      <c r="O20" s="65"/>
      <c r="P20" s="65"/>
      <c r="Q20" s="65"/>
      <c r="R20" s="65"/>
      <c r="S20" s="95" t="str">
        <f>"Bình Chánh, ngày  "&amp;$V$2&amp;"   tháng   "&amp;TEXT($E$4,"mm")&amp;"   năm "&amp;TEXT($E$4,"yyyy")</f>
        <v>Bình Chánh, ngày  31   tháng   12   năm 2017</v>
      </c>
      <c r="T20" s="65"/>
      <c r="U20" s="123"/>
      <c r="V20" s="30"/>
      <c r="W20" s="30"/>
      <c r="X20" s="30"/>
      <c r="Y20" s="30"/>
      <c r="Z20" s="30"/>
    </row>
    <row r="21" spans="1:26" s="29" customFormat="1" ht="12.75">
      <c r="A21" s="23"/>
      <c r="B21" s="23"/>
      <c r="C21" s="23" t="s">
        <v>53</v>
      </c>
      <c r="D21" s="124"/>
      <c r="E21" s="66"/>
      <c r="F21" s="123"/>
      <c r="G21" s="66"/>
      <c r="H21" s="66"/>
      <c r="I21" s="66"/>
      <c r="J21" s="125"/>
      <c r="K21" s="30"/>
      <c r="L21" s="23"/>
      <c r="M21" s="134"/>
      <c r="N21" s="19"/>
      <c r="O21" s="19"/>
      <c r="P21" s="19"/>
      <c r="Q21" s="19"/>
      <c r="S21" s="123" t="s">
        <v>21</v>
      </c>
      <c r="T21" s="123"/>
      <c r="U21" s="123"/>
      <c r="V21" s="30"/>
      <c r="W21" s="30"/>
      <c r="X21" s="30"/>
      <c r="Y21" s="30"/>
      <c r="Z21" s="30"/>
    </row>
    <row r="22" spans="1:26" ht="12">
      <c r="A22" s="8"/>
      <c r="B22" s="8"/>
      <c r="C22" s="15"/>
      <c r="E22" s="13"/>
      <c r="F22" s="12"/>
      <c r="G22" s="13"/>
      <c r="H22" s="13"/>
      <c r="I22" s="13"/>
      <c r="K22" s="7"/>
      <c r="L22" s="15"/>
      <c r="N22" s="11"/>
      <c r="O22" s="11"/>
      <c r="P22" s="11"/>
      <c r="Q22" s="11"/>
      <c r="S22" s="11"/>
      <c r="T22" s="12"/>
      <c r="U22" s="91"/>
    </row>
    <row r="23" spans="1:26" ht="12">
      <c r="C23" s="15"/>
      <c r="L23" s="15"/>
      <c r="T23" s="15"/>
      <c r="U23" s="91"/>
    </row>
    <row r="24" spans="1:26" ht="12">
      <c r="U24" s="91"/>
    </row>
    <row r="25" spans="1:26" ht="12">
      <c r="U25" s="91"/>
    </row>
    <row r="26" spans="1:26" ht="12">
      <c r="U26" s="91"/>
    </row>
    <row r="27" spans="1:26" ht="12">
      <c r="U27" s="91"/>
    </row>
    <row r="28" spans="1:26" ht="12">
      <c r="U28" s="91"/>
    </row>
    <row r="29" spans="1:26" ht="12">
      <c r="U29" s="91"/>
    </row>
  </sheetData>
  <protectedRanges>
    <protectedRange password="CC78" sqref="V17:IK18 C5:D7 B21:C21 V5:W9 A17:A22 B17:B20 B22 V13:W13 Q5:T7 E5:I6 D18 N5:P6 L5 L21 J6:K7 L7 A24:T57 U30:U57 N17:S17 V24:IK57 J17:L17 A58:IK65325 AF13:IK13 V12:IK12 D12 Q10:S11 AF5:IK11 W10:W11 A10:B12" name="Range1"/>
    <protectedRange password="CC78" sqref="F7:H7" name="Range1_4"/>
    <protectedRange password="CC78" sqref="V21:IK22 S21:T22 N21:Q22 E21:I22" name="Range1_1_1"/>
    <protectedRange password="CC78" sqref="U1 W1:IK3 V4:IK4 B4:T4 R2:S3 B1:Q3 U17:U29 X13:AE13 X5:AE11 U4:U13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AF14:IK16 Q14:S16 W14:W16 A14:B16" name="Range1_5"/>
    <protectedRange password="CC78" sqref="X14:AE16 U14:U16" name="Range1_2_3"/>
    <protectedRange password="CC78" sqref="V14:V16" name="Range1_1_3"/>
    <protectedRange password="CC78" sqref="K10:K11 K14:K16" name="Range1_6"/>
    <protectedRange password="CC78" sqref="A2:A3" name="Range1_2_1_3"/>
    <protectedRange password="CC78" sqref="E12:T12" name="Range1_3"/>
    <protectedRange password="CC78" sqref="E18:T18" name="Range1_7"/>
    <protectedRange password="CC78" sqref="U2" name="Range1_2_2_1_1"/>
  </protectedRanges>
  <autoFilter ref="A7:AE10"/>
  <mergeCells count="22"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25</vt:i4>
      </vt:variant>
    </vt:vector>
  </HeadingPairs>
  <TitlesOfParts>
    <vt:vector size="50" baseType="lpstr">
      <vt:lpstr>TH</vt:lpstr>
      <vt:lpstr>CC -1</vt:lpstr>
      <vt:lpstr>L - 1</vt:lpstr>
      <vt:lpstr>CC -2</vt:lpstr>
      <vt:lpstr>L - 2</vt:lpstr>
      <vt:lpstr>CC -3</vt:lpstr>
      <vt:lpstr>L - 3</vt:lpstr>
      <vt:lpstr>CC -4</vt:lpstr>
      <vt:lpstr>L - 4</vt:lpstr>
      <vt:lpstr>CC -5</vt:lpstr>
      <vt:lpstr>L - 5</vt:lpstr>
      <vt:lpstr>CC -6</vt:lpstr>
      <vt:lpstr>L - 6</vt:lpstr>
      <vt:lpstr>CC -7</vt:lpstr>
      <vt:lpstr>L - 7</vt:lpstr>
      <vt:lpstr>CC - 8</vt:lpstr>
      <vt:lpstr>L - 8</vt:lpstr>
      <vt:lpstr>CC -9</vt:lpstr>
      <vt:lpstr>L - 9</vt:lpstr>
      <vt:lpstr>CC -10</vt:lpstr>
      <vt:lpstr>L - 10</vt:lpstr>
      <vt:lpstr>CC -11</vt:lpstr>
      <vt:lpstr>L - 11</vt:lpstr>
      <vt:lpstr>CC -12</vt:lpstr>
      <vt:lpstr>L - 12</vt:lpstr>
      <vt:lpstr>DS</vt:lpstr>
      <vt:lpstr>DS_01</vt:lpstr>
      <vt:lpstr>DS_02</vt:lpstr>
      <vt:lpstr>DS_03</vt:lpstr>
      <vt:lpstr>DS_04</vt:lpstr>
      <vt:lpstr>DS_05</vt:lpstr>
      <vt:lpstr>DS_06</vt:lpstr>
      <vt:lpstr>DS_07</vt:lpstr>
      <vt:lpstr>DS_08</vt:lpstr>
      <vt:lpstr>DS_09</vt:lpstr>
      <vt:lpstr>DS_10</vt:lpstr>
      <vt:lpstr>DS_11</vt:lpstr>
      <vt:lpstr>DS_12</vt:lpstr>
      <vt:lpstr>'CC - 8'!Print_Area</vt:lpstr>
      <vt:lpstr>'CC -1'!Print_Area</vt:lpstr>
      <vt:lpstr>'CC -10'!Print_Area</vt:lpstr>
      <vt:lpstr>'CC -11'!Print_Area</vt:lpstr>
      <vt:lpstr>'CC -12'!Print_Area</vt:lpstr>
      <vt:lpstr>'CC -2'!Print_Area</vt:lpstr>
      <vt:lpstr>'CC -3'!Print_Area</vt:lpstr>
      <vt:lpstr>'CC -4'!Print_Area</vt:lpstr>
      <vt:lpstr>'CC -5'!Print_Area</vt:lpstr>
      <vt:lpstr>'CC -6'!Print_Area</vt:lpstr>
      <vt:lpstr>'CC -7'!Print_Area</vt:lpstr>
      <vt:lpstr>'CC -9'!Print_Area</vt:lpstr>
    </vt:vector>
  </TitlesOfParts>
  <Company>HP-COMPUTER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_=== HPC ===_</dc:creator>
  <cp:lastModifiedBy>User1</cp:lastModifiedBy>
  <cp:lastPrinted>2016-05-23T07:13:11Z</cp:lastPrinted>
  <dcterms:created xsi:type="dcterms:W3CDTF">2011-06-27T04:19:15Z</dcterms:created>
  <dcterms:modified xsi:type="dcterms:W3CDTF">2017-04-01T13:12:27Z</dcterms:modified>
</cp:coreProperties>
</file>