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DP---KNA\3702076037\2015\"/>
    </mc:Choice>
  </mc:AlternateContent>
  <bookViews>
    <workbookView xWindow="480" yWindow="45" windowWidth="22995" windowHeight="10035" tabRatio="89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S1" i="6" l="1"/>
  <c r="C13" i="25" l="1"/>
  <c r="D13" i="25"/>
  <c r="E13" i="25"/>
  <c r="N13" i="25"/>
  <c r="O13" i="25"/>
  <c r="P13" i="25"/>
  <c r="R13" i="25"/>
  <c r="AL15" i="24"/>
  <c r="D15" i="24"/>
  <c r="C15" i="24"/>
  <c r="C13" i="23"/>
  <c r="D13" i="23"/>
  <c r="E13" i="23"/>
  <c r="N13" i="23"/>
  <c r="O13" i="23"/>
  <c r="P13" i="23"/>
  <c r="R13" i="23"/>
  <c r="AL15" i="22"/>
  <c r="D15" i="22"/>
  <c r="C15" i="22"/>
  <c r="C11" i="21"/>
  <c r="D11" i="21"/>
  <c r="E11" i="21"/>
  <c r="N11" i="21"/>
  <c r="O11" i="21"/>
  <c r="P11" i="21"/>
  <c r="R11" i="21"/>
  <c r="C12" i="21"/>
  <c r="D12" i="21"/>
  <c r="E12" i="21"/>
  <c r="N12" i="21"/>
  <c r="O12" i="21"/>
  <c r="P12" i="21"/>
  <c r="R12" i="21"/>
  <c r="C13" i="21"/>
  <c r="D13" i="21"/>
  <c r="E13" i="21"/>
  <c r="N13" i="21"/>
  <c r="O13" i="21"/>
  <c r="P13" i="21"/>
  <c r="R13" i="21"/>
  <c r="AL15" i="20"/>
  <c r="D15" i="20"/>
  <c r="C15" i="20"/>
  <c r="C11" i="19"/>
  <c r="D11" i="19"/>
  <c r="E11" i="19"/>
  <c r="N11" i="19"/>
  <c r="O11" i="19"/>
  <c r="P11" i="19"/>
  <c r="R11" i="19"/>
  <c r="C12" i="19"/>
  <c r="D12" i="19"/>
  <c r="E12" i="19"/>
  <c r="N12" i="19"/>
  <c r="O12" i="19"/>
  <c r="P12" i="19"/>
  <c r="R12" i="19"/>
  <c r="C13" i="19"/>
  <c r="D13" i="19"/>
  <c r="E13" i="19"/>
  <c r="N13" i="19"/>
  <c r="O13" i="19"/>
  <c r="P13" i="19"/>
  <c r="R13" i="19"/>
  <c r="AL15" i="18"/>
  <c r="D15" i="18"/>
  <c r="C15" i="18"/>
  <c r="C11" i="17"/>
  <c r="D11" i="17"/>
  <c r="E11" i="17"/>
  <c r="N11" i="17"/>
  <c r="O11" i="17"/>
  <c r="P11" i="17"/>
  <c r="R11" i="17"/>
  <c r="C12" i="17"/>
  <c r="D12" i="17"/>
  <c r="E12" i="17"/>
  <c r="N12" i="17"/>
  <c r="O12" i="17"/>
  <c r="P12" i="17"/>
  <c r="R12" i="17"/>
  <c r="C13" i="17"/>
  <c r="D13" i="17"/>
  <c r="E13" i="17"/>
  <c r="N13" i="17"/>
  <c r="O13" i="17"/>
  <c r="P13" i="17"/>
  <c r="R13" i="17"/>
  <c r="AL15" i="16"/>
  <c r="D15" i="16"/>
  <c r="C15" i="16"/>
  <c r="C13" i="15"/>
  <c r="D13" i="15"/>
  <c r="E13" i="15"/>
  <c r="N13" i="15"/>
  <c r="O13" i="15"/>
  <c r="P13" i="15"/>
  <c r="R13" i="15"/>
  <c r="AL15" i="14"/>
  <c r="D15" i="14"/>
  <c r="C15" i="14"/>
  <c r="C11" i="13"/>
  <c r="D11" i="13"/>
  <c r="E11" i="13"/>
  <c r="N11" i="13"/>
  <c r="O11" i="13"/>
  <c r="P11" i="13"/>
  <c r="R11" i="13"/>
  <c r="C12" i="13"/>
  <c r="D12" i="13"/>
  <c r="E12" i="13"/>
  <c r="N12" i="13"/>
  <c r="O12" i="13"/>
  <c r="P12" i="13"/>
  <c r="R12" i="13"/>
  <c r="C13" i="13"/>
  <c r="D13" i="13"/>
  <c r="E13" i="13"/>
  <c r="N13" i="13"/>
  <c r="O13" i="13"/>
  <c r="P13" i="13"/>
  <c r="R13" i="13"/>
  <c r="AL15" i="12"/>
  <c r="D15" i="12"/>
  <c r="C15" i="12"/>
  <c r="C13" i="11"/>
  <c r="D13" i="11"/>
  <c r="E13" i="11"/>
  <c r="N13" i="11"/>
  <c r="O13" i="11"/>
  <c r="P13" i="11"/>
  <c r="R13" i="11"/>
  <c r="AL15" i="10"/>
  <c r="D15" i="10"/>
  <c r="C15" i="10"/>
  <c r="C13" i="9"/>
  <c r="D13" i="9"/>
  <c r="E13" i="9"/>
  <c r="N13" i="9"/>
  <c r="O13" i="9"/>
  <c r="P13" i="9"/>
  <c r="R13" i="9"/>
  <c r="AL15" i="8"/>
  <c r="D15" i="8"/>
  <c r="C15" i="8"/>
  <c r="R13" i="7"/>
  <c r="P13" i="7"/>
  <c r="O13" i="7"/>
  <c r="N13" i="7"/>
  <c r="E13" i="7"/>
  <c r="D13" i="7"/>
  <c r="C13" i="7"/>
  <c r="AL15" i="6"/>
  <c r="D15" i="6"/>
  <c r="C15" i="6"/>
  <c r="AL15" i="4"/>
  <c r="D15" i="4"/>
  <c r="C15" i="4"/>
  <c r="C13" i="5"/>
  <c r="D13" i="5"/>
  <c r="E13" i="5"/>
  <c r="N13" i="5"/>
  <c r="O13" i="5"/>
  <c r="P13" i="5"/>
  <c r="R13" i="5"/>
  <c r="C13" i="3"/>
  <c r="D13" i="3"/>
  <c r="E13" i="3"/>
  <c r="N13" i="3"/>
  <c r="O13" i="3"/>
  <c r="P13" i="3"/>
  <c r="R13" i="3"/>
  <c r="AL15" i="2"/>
  <c r="D15" i="2"/>
  <c r="C15" i="2"/>
  <c r="C11" i="25" l="1"/>
  <c r="D11" i="25"/>
  <c r="E11" i="25"/>
  <c r="N11" i="25"/>
  <c r="O11" i="25"/>
  <c r="P11" i="25"/>
  <c r="R11" i="25"/>
  <c r="C12" i="25"/>
  <c r="D12" i="25"/>
  <c r="E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N11" i="23"/>
  <c r="O11" i="23"/>
  <c r="P11" i="23"/>
  <c r="R11" i="23"/>
  <c r="C12" i="23"/>
  <c r="D12" i="23"/>
  <c r="E12" i="23"/>
  <c r="N12" i="23"/>
  <c r="O12" i="23"/>
  <c r="P12" i="23"/>
  <c r="R12" i="23"/>
  <c r="AL13" i="22"/>
  <c r="D13" i="22"/>
  <c r="C13" i="22"/>
  <c r="AL11" i="22"/>
  <c r="D11" i="22"/>
  <c r="C11" i="22"/>
  <c r="AL13" i="20"/>
  <c r="D13" i="20"/>
  <c r="C13" i="20"/>
  <c r="AL11" i="20"/>
  <c r="D11" i="20"/>
  <c r="C11" i="20"/>
  <c r="AL13" i="18"/>
  <c r="D13" i="18"/>
  <c r="C13" i="18"/>
  <c r="AL11" i="18"/>
  <c r="D11" i="18"/>
  <c r="C11" i="18"/>
  <c r="AL13" i="16"/>
  <c r="D13" i="16"/>
  <c r="C13" i="16"/>
  <c r="AL11" i="16"/>
  <c r="D11" i="16"/>
  <c r="C11" i="16"/>
  <c r="C11" i="15"/>
  <c r="D11" i="15"/>
  <c r="E11" i="15"/>
  <c r="N11" i="15"/>
  <c r="O11" i="15"/>
  <c r="P11" i="15"/>
  <c r="R11" i="15"/>
  <c r="C12" i="15"/>
  <c r="D12" i="15"/>
  <c r="E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N11" i="7"/>
  <c r="O11" i="7"/>
  <c r="P11" i="7"/>
  <c r="R11" i="7"/>
  <c r="C12" i="7"/>
  <c r="D12" i="7"/>
  <c r="E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N11" i="5"/>
  <c r="O11" i="5"/>
  <c r="P11" i="5"/>
  <c r="R11" i="5"/>
  <c r="C12" i="5"/>
  <c r="D12" i="5"/>
  <c r="E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C17" i="15" l="1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R19" i="21" s="1"/>
  <c r="P17" i="21"/>
  <c r="P19" i="21" s="1"/>
  <c r="O17" i="21"/>
  <c r="O19" i="21" s="1"/>
  <c r="N17" i="21"/>
  <c r="N19" i="21" s="1"/>
  <c r="E17" i="21"/>
  <c r="E19" i="21" s="1"/>
  <c r="D17" i="21"/>
  <c r="C17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G5" i="6"/>
  <c r="E15" i="5"/>
  <c r="E19" i="5"/>
  <c r="S21" i="5"/>
  <c r="D1" i="9"/>
  <c r="E15" i="7"/>
  <c r="E19" i="7"/>
  <c r="I5" i="4" l="1"/>
  <c r="J5" i="22"/>
  <c r="J6" i="22" s="1"/>
  <c r="G6" i="4"/>
  <c r="J6" i="24"/>
  <c r="K5" i="24"/>
  <c r="K5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K11" i="22" l="1"/>
  <c r="AM13" i="22"/>
  <c r="H12" i="23" s="1"/>
  <c r="AK13" i="22"/>
  <c r="AM11" i="22"/>
  <c r="H11" i="23" s="1"/>
  <c r="AK15" i="22"/>
  <c r="AM15" i="22"/>
  <c r="H13" i="23" s="1"/>
  <c r="AM15" i="24"/>
  <c r="H13" i="25" s="1"/>
  <c r="AK15" i="24"/>
  <c r="AM13" i="24"/>
  <c r="H12" i="25" s="1"/>
  <c r="AK11" i="24"/>
  <c r="F11" i="25" s="1"/>
  <c r="AM11" i="24"/>
  <c r="H11" i="25" s="1"/>
  <c r="AK13" i="24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3" i="24" l="1"/>
  <c r="F12" i="25"/>
  <c r="AK15" i="4"/>
  <c r="AM15" i="4"/>
  <c r="H13" i="5" s="1"/>
  <c r="L11" i="25"/>
  <c r="J11" i="25"/>
  <c r="AN15" i="24"/>
  <c r="F13" i="25"/>
  <c r="AN13" i="22"/>
  <c r="F12" i="23"/>
  <c r="AN15" i="22"/>
  <c r="F13" i="23"/>
  <c r="AN11" i="22"/>
  <c r="F11" i="23"/>
  <c r="AN11" i="24"/>
  <c r="AM11" i="4"/>
  <c r="H11" i="5" s="1"/>
  <c r="AK11" i="4"/>
  <c r="AK13" i="4"/>
  <c r="AM13" i="4"/>
  <c r="H12" i="5" s="1"/>
  <c r="AN9" i="24"/>
  <c r="F10" i="25"/>
  <c r="U2" i="25"/>
  <c r="AN18" i="24"/>
  <c r="F17" i="25"/>
  <c r="F17" i="23"/>
  <c r="AN18" i="22"/>
  <c r="U2" i="23"/>
  <c r="F10" i="23"/>
  <c r="AN9" i="22"/>
  <c r="AI6" i="2"/>
  <c r="AM9" i="2" s="1"/>
  <c r="H10" i="3" s="1"/>
  <c r="AJ5" i="2"/>
  <c r="AJ6" i="2" s="1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AK15" i="8" l="1"/>
  <c r="AM15" i="8"/>
  <c r="H13" i="9" s="1"/>
  <c r="AK11" i="16"/>
  <c r="AK13" i="16"/>
  <c r="AK15" i="16"/>
  <c r="AM11" i="16"/>
  <c r="H11" i="17" s="1"/>
  <c r="AM13" i="16"/>
  <c r="H12" i="17" s="1"/>
  <c r="AM15" i="16"/>
  <c r="H13" i="17" s="1"/>
  <c r="AK15" i="12"/>
  <c r="AM15" i="12"/>
  <c r="H13" i="13" s="1"/>
  <c r="AK18" i="2"/>
  <c r="AN11" i="4"/>
  <c r="F11" i="5"/>
  <c r="L13" i="23"/>
  <c r="J13" i="23"/>
  <c r="L13" i="25"/>
  <c r="J13" i="25"/>
  <c r="AM15" i="18"/>
  <c r="H13" i="19" s="1"/>
  <c r="AK11" i="18"/>
  <c r="AK15" i="18"/>
  <c r="AM13" i="18"/>
  <c r="H12" i="19" s="1"/>
  <c r="AM11" i="18"/>
  <c r="H11" i="19" s="1"/>
  <c r="AK13" i="18"/>
  <c r="AM15" i="2"/>
  <c r="H13" i="3" s="1"/>
  <c r="AK15" i="2"/>
  <c r="I13" i="23"/>
  <c r="G13" i="23"/>
  <c r="AN15" i="4"/>
  <c r="F13" i="5"/>
  <c r="AK15" i="14"/>
  <c r="AM15" i="14"/>
  <c r="H13" i="15" s="1"/>
  <c r="G13" i="25"/>
  <c r="K13" i="25" s="1"/>
  <c r="M13" i="25" s="1"/>
  <c r="Q13" i="25" s="1"/>
  <c r="S13" i="25" s="1"/>
  <c r="I13" i="25"/>
  <c r="AN13" i="4"/>
  <c r="F12" i="5"/>
  <c r="L11" i="23"/>
  <c r="J11" i="23"/>
  <c r="L12" i="23"/>
  <c r="J12" i="23"/>
  <c r="L12" i="25"/>
  <c r="J12" i="25"/>
  <c r="G12" i="25"/>
  <c r="G11" i="25"/>
  <c r="I12" i="25"/>
  <c r="I11" i="25"/>
  <c r="I11" i="23"/>
  <c r="I12" i="23"/>
  <c r="G12" i="23"/>
  <c r="G11" i="23"/>
  <c r="K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F11" i="15" s="1"/>
  <c r="AM18" i="14"/>
  <c r="H17" i="15" s="1"/>
  <c r="AM11" i="14"/>
  <c r="H11" i="15" s="1"/>
  <c r="AM13" i="14"/>
  <c r="H12" i="15" s="1"/>
  <c r="AK13" i="14"/>
  <c r="F12" i="15" s="1"/>
  <c r="AK11" i="12"/>
  <c r="AM13" i="12"/>
  <c r="H12" i="13" s="1"/>
  <c r="AK13" i="12"/>
  <c r="AM11" i="12"/>
  <c r="H11" i="13" s="1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F10" i="19" s="1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AK15" i="10" l="1"/>
  <c r="AM15" i="10"/>
  <c r="H13" i="11" s="1"/>
  <c r="AK13" i="20"/>
  <c r="AM11" i="20"/>
  <c r="H11" i="21" s="1"/>
  <c r="AM15" i="20"/>
  <c r="H13" i="21" s="1"/>
  <c r="AK11" i="20"/>
  <c r="AM13" i="20"/>
  <c r="H12" i="21" s="1"/>
  <c r="AK15" i="20"/>
  <c r="AN15" i="18"/>
  <c r="F13" i="19"/>
  <c r="AN13" i="16"/>
  <c r="F12" i="17"/>
  <c r="L12" i="15"/>
  <c r="J12" i="15"/>
  <c r="L11" i="15"/>
  <c r="J11" i="15"/>
  <c r="J12" i="5"/>
  <c r="L12" i="5"/>
  <c r="K13" i="23"/>
  <c r="M13" i="23" s="1"/>
  <c r="Q13" i="23" s="1"/>
  <c r="S13" i="23" s="1"/>
  <c r="AN13" i="18"/>
  <c r="F12" i="19"/>
  <c r="F11" i="19"/>
  <c r="AN11" i="18"/>
  <c r="F11" i="17"/>
  <c r="AN11" i="16"/>
  <c r="AN11" i="12"/>
  <c r="F11" i="13"/>
  <c r="AN13" i="12"/>
  <c r="F12" i="13"/>
  <c r="AN15" i="14"/>
  <c r="F13" i="15"/>
  <c r="M11" i="23"/>
  <c r="Q11" i="23" s="1"/>
  <c r="S11" i="23" s="1"/>
  <c r="L13" i="5"/>
  <c r="J13" i="5"/>
  <c r="AN15" i="2"/>
  <c r="F13" i="3"/>
  <c r="L11" i="5"/>
  <c r="J11" i="5"/>
  <c r="AN15" i="12"/>
  <c r="F13" i="13"/>
  <c r="AN15" i="16"/>
  <c r="F13" i="17"/>
  <c r="AN15" i="8"/>
  <c r="F13" i="9"/>
  <c r="AK15" i="6"/>
  <c r="AM15" i="6"/>
  <c r="H13" i="7" s="1"/>
  <c r="K11" i="25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F11" i="7" s="1"/>
  <c r="AK13" i="6"/>
  <c r="F12" i="7" s="1"/>
  <c r="AM11" i="6"/>
  <c r="H11" i="7" s="1"/>
  <c r="AM13" i="6"/>
  <c r="H12" i="7" s="1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L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AK9" i="6"/>
  <c r="AK18" i="6"/>
  <c r="AM9" i="6"/>
  <c r="H10" i="7" s="1"/>
  <c r="AM18" i="6"/>
  <c r="H17" i="7" s="1"/>
  <c r="I13" i="15" l="1"/>
  <c r="G13" i="15"/>
  <c r="K13" i="15" s="1"/>
  <c r="L12" i="13"/>
  <c r="J12" i="13"/>
  <c r="L12" i="19"/>
  <c r="J12" i="19"/>
  <c r="AN15" i="10"/>
  <c r="F13" i="11"/>
  <c r="J13" i="13"/>
  <c r="L13" i="13"/>
  <c r="AN15" i="20"/>
  <c r="F13" i="21"/>
  <c r="I13" i="3"/>
  <c r="G13" i="3"/>
  <c r="K13" i="3" s="1"/>
  <c r="L13" i="15"/>
  <c r="J13" i="15"/>
  <c r="L11" i="13"/>
  <c r="J11" i="13"/>
  <c r="AN13" i="20"/>
  <c r="F12" i="21"/>
  <c r="G13" i="13"/>
  <c r="I11" i="13"/>
  <c r="G11" i="13"/>
  <c r="I13" i="13"/>
  <c r="I12" i="13"/>
  <c r="G12" i="13"/>
  <c r="K12" i="13" s="1"/>
  <c r="M12" i="13" s="1"/>
  <c r="Q12" i="13" s="1"/>
  <c r="S12" i="13" s="1"/>
  <c r="L13" i="9"/>
  <c r="J13" i="9"/>
  <c r="L13" i="3"/>
  <c r="J13" i="3"/>
  <c r="L11" i="17"/>
  <c r="J11" i="17"/>
  <c r="L12" i="17"/>
  <c r="J12" i="17"/>
  <c r="I12" i="9"/>
  <c r="G13" i="9"/>
  <c r="K13" i="9" s="1"/>
  <c r="M13" i="9" s="1"/>
  <c r="Q13" i="9" s="1"/>
  <c r="S13" i="9" s="1"/>
  <c r="I13" i="9"/>
  <c r="G12" i="17"/>
  <c r="K12" i="17" s="1"/>
  <c r="M12" i="17" s="1"/>
  <c r="Q12" i="17" s="1"/>
  <c r="S12" i="17" s="1"/>
  <c r="G13" i="17"/>
  <c r="K13" i="17" s="1"/>
  <c r="I11" i="17"/>
  <c r="I13" i="17"/>
  <c r="G11" i="17"/>
  <c r="I12" i="17"/>
  <c r="L13" i="17"/>
  <c r="J13" i="17"/>
  <c r="L11" i="19"/>
  <c r="J11" i="19"/>
  <c r="L13" i="19"/>
  <c r="J13" i="19"/>
  <c r="F11" i="21"/>
  <c r="AN11" i="20"/>
  <c r="J12" i="7"/>
  <c r="L12" i="7"/>
  <c r="L11" i="7"/>
  <c r="J11" i="7"/>
  <c r="AN15" i="6"/>
  <c r="F13" i="7"/>
  <c r="V14" i="19"/>
  <c r="G10" i="19"/>
  <c r="I12" i="19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5" i="19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L13" i="11" l="1"/>
  <c r="J13" i="11"/>
  <c r="G13" i="21"/>
  <c r="I13" i="21"/>
  <c r="I11" i="21"/>
  <c r="G11" i="21"/>
  <c r="K11" i="21" s="1"/>
  <c r="G12" i="21"/>
  <c r="I12" i="21"/>
  <c r="M13" i="17"/>
  <c r="Q13" i="17" s="1"/>
  <c r="S13" i="17" s="1"/>
  <c r="K11" i="13"/>
  <c r="M11" i="13" s="1"/>
  <c r="Q11" i="13" s="1"/>
  <c r="S11" i="13" s="1"/>
  <c r="L13" i="21"/>
  <c r="J13" i="21"/>
  <c r="J11" i="21"/>
  <c r="L11" i="21"/>
  <c r="K11" i="17"/>
  <c r="M11" i="17" s="1"/>
  <c r="Q11" i="17" s="1"/>
  <c r="S11" i="17" s="1"/>
  <c r="M13" i="3"/>
  <c r="Q13" i="3" s="1"/>
  <c r="S13" i="3" s="1"/>
  <c r="M13" i="15"/>
  <c r="Q13" i="15" s="1"/>
  <c r="S13" i="15" s="1"/>
  <c r="L12" i="21"/>
  <c r="J12" i="21"/>
  <c r="G13" i="11"/>
  <c r="K13" i="11" s="1"/>
  <c r="M13" i="11" s="1"/>
  <c r="Q13" i="11" s="1"/>
  <c r="S13" i="11" s="1"/>
  <c r="I13" i="11"/>
  <c r="K13" i="13"/>
  <c r="M13" i="13" s="1"/>
  <c r="Q13" i="13" s="1"/>
  <c r="S13" i="13" s="1"/>
  <c r="L13" i="7"/>
  <c r="J13" i="7"/>
  <c r="K11" i="19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K12" i="21" l="1"/>
  <c r="M12" i="21" s="1"/>
  <c r="Q12" i="21" s="1"/>
  <c r="S12" i="21" s="1"/>
  <c r="M11" i="21"/>
  <c r="Q11" i="21" s="1"/>
  <c r="S11" i="21" s="1"/>
  <c r="K13" i="21"/>
  <c r="M13" i="21" s="1"/>
  <c r="Q13" i="21" s="1"/>
  <c r="S13" i="21" s="1"/>
  <c r="K13" i="7"/>
  <c r="M13" i="7" s="1"/>
  <c r="Q13" i="7" s="1"/>
  <c r="S13" i="7" s="1"/>
  <c r="S15" i="3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V15" i="19" l="1"/>
  <c r="V16" i="19" s="1"/>
  <c r="S10" i="2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<sst xmlns="http://schemas.openxmlformats.org/spreadsheetml/2006/main" count="1178" uniqueCount="176">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</sst>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21" fillId="0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abSelected="1" topLeftCell="A8" workbookViewId="0">
      <pane ySplit="3" topLeftCell="A11" activePane="bottomLeft" state="frozen"/>
      <selection activeCell="E19" sqref="E19"/>
      <selection pane="bottomLeft" activeCell="C15" sqref="C15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3" t="s">
        <v>2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</row>
    <row r="6" spans="1:26" ht="23.25" customHeight="1">
      <c r="A6" s="204" t="str">
        <f>"Tháng "&amp;'CC -1'!C4&amp;" năm 2011"</f>
        <v>Tháng  năm 2011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5" t="s">
        <v>3</v>
      </c>
      <c r="B8" s="205" t="s">
        <v>4</v>
      </c>
      <c r="C8" s="205" t="s">
        <v>5</v>
      </c>
      <c r="D8" s="205" t="s">
        <v>6</v>
      </c>
      <c r="E8" s="206" t="s">
        <v>7</v>
      </c>
      <c r="F8" s="207"/>
      <c r="G8" s="210" t="s">
        <v>8</v>
      </c>
      <c r="H8" s="210"/>
      <c r="I8" s="210" t="s">
        <v>9</v>
      </c>
      <c r="J8" s="210" t="s">
        <v>10</v>
      </c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1" t="s">
        <v>11</v>
      </c>
      <c r="W8" s="211" t="s">
        <v>12</v>
      </c>
      <c r="X8" s="211" t="s">
        <v>13</v>
      </c>
      <c r="Y8" s="9"/>
      <c r="Z8" s="9"/>
    </row>
    <row r="9" spans="1:26" s="1" customFormat="1" ht="20.25" customHeight="1">
      <c r="A9" s="205"/>
      <c r="B9" s="205"/>
      <c r="C9" s="205"/>
      <c r="D9" s="205"/>
      <c r="E9" s="208"/>
      <c r="F9" s="209"/>
      <c r="G9" s="10" t="s">
        <v>14</v>
      </c>
      <c r="H9" s="10" t="s">
        <v>15</v>
      </c>
      <c r="I9" s="210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2"/>
      <c r="W9" s="212"/>
      <c r="X9" s="212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2600000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2500000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2000000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3">
        <v>2500000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3" t="s">
        <v>33</v>
      </c>
      <c r="B18" s="214"/>
      <c r="C18" s="214"/>
      <c r="D18" s="31" t="s">
        <v>34</v>
      </c>
      <c r="E18" s="32">
        <f>SUM(E11:E17)</f>
        <v>12100000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5"/>
      <c r="B19" s="216"/>
      <c r="C19" s="216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7"/>
      <c r="B20" s="218"/>
      <c r="C20" s="218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2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2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2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2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2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2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2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2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2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2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2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2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2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2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2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2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2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2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2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2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2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2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2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2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2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2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2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2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2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2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2" t="str">
        <f>M60</f>
        <v>ALTP017</v>
      </c>
    </row>
    <row r="76" spans="3:14">
      <c r="C76" s="51"/>
      <c r="G76" s="2" t="s">
        <v>109</v>
      </c>
      <c r="J76" s="2" t="s">
        <v>110</v>
      </c>
      <c r="N76" s="202"/>
    </row>
    <row r="77" spans="3:14">
      <c r="C77" s="51"/>
      <c r="G77" s="4" t="s">
        <v>97</v>
      </c>
      <c r="J77" s="2" t="s">
        <v>111</v>
      </c>
      <c r="N77" s="202" t="str">
        <f>M61</f>
        <v>ALTP018</v>
      </c>
    </row>
    <row r="78" spans="3:14">
      <c r="C78" s="51"/>
      <c r="G78" s="4" t="s">
        <v>100</v>
      </c>
      <c r="J78" s="2" t="s">
        <v>112</v>
      </c>
      <c r="N78" s="202"/>
    </row>
    <row r="79" spans="3:14">
      <c r="C79" s="51"/>
      <c r="G79" s="4" t="s">
        <v>102</v>
      </c>
      <c r="J79" s="2" t="s">
        <v>113</v>
      </c>
      <c r="N79" s="202" t="str">
        <f>M62</f>
        <v>ALTP019</v>
      </c>
    </row>
    <row r="80" spans="3:14">
      <c r="C80" s="51"/>
      <c r="G80" s="4" t="s">
        <v>104</v>
      </c>
      <c r="J80" s="2" t="s">
        <v>114</v>
      </c>
      <c r="N80" s="202"/>
    </row>
    <row r="81" spans="3:14">
      <c r="C81" s="51"/>
      <c r="G81" s="4" t="s">
        <v>106</v>
      </c>
      <c r="J81" s="2" t="s">
        <v>115</v>
      </c>
      <c r="N81" s="202" t="str">
        <f>M63</f>
        <v>ALTP020</v>
      </c>
    </row>
    <row r="82" spans="3:14">
      <c r="C82" s="51"/>
      <c r="G82" s="4" t="s">
        <v>108</v>
      </c>
      <c r="J82" s="2" t="s">
        <v>116</v>
      </c>
      <c r="N82" s="202"/>
    </row>
    <row r="83" spans="3:14">
      <c r="C83" s="51"/>
      <c r="N83" s="202" t="str">
        <f>M64</f>
        <v>ALTP025</v>
      </c>
    </row>
    <row r="84" spans="3:14">
      <c r="C84" s="51"/>
      <c r="N84" s="202"/>
    </row>
    <row r="85" spans="3:14">
      <c r="C85" s="51"/>
      <c r="N85" s="202" t="str">
        <f>M65</f>
        <v>ALTP027</v>
      </c>
    </row>
    <row r="86" spans="3:14">
      <c r="C86" s="51"/>
      <c r="N86" s="202"/>
    </row>
    <row r="87" spans="3:14">
      <c r="C87" s="51"/>
      <c r="N87" s="202" t="str">
        <f>M66</f>
        <v>ALTN001</v>
      </c>
    </row>
    <row r="88" spans="3:14">
      <c r="C88" s="51"/>
      <c r="N88" s="202"/>
    </row>
    <row r="89" spans="3:14">
      <c r="C89" s="51"/>
      <c r="N89" s="202" t="str">
        <f>M67</f>
        <v>ALTN002</v>
      </c>
    </row>
    <row r="90" spans="3:14">
      <c r="C90" s="51"/>
      <c r="N90" s="202"/>
    </row>
    <row r="91" spans="3:14">
      <c r="C91" s="51"/>
      <c r="N91" s="202" t="str">
        <f>M68</f>
        <v>ALTN003</v>
      </c>
    </row>
    <row r="92" spans="3:14">
      <c r="C92" s="51"/>
      <c r="N92" s="202"/>
    </row>
    <row r="93" spans="3:14">
      <c r="C93" s="51"/>
      <c r="N93" s="202" t="str">
        <f>M69</f>
        <v>ALTN004</v>
      </c>
    </row>
    <row r="94" spans="3:14">
      <c r="C94" s="51"/>
      <c r="N94" s="202"/>
    </row>
    <row r="95" spans="3:14">
      <c r="C95" s="51"/>
      <c r="N95" s="202" t="str">
        <f>M70</f>
        <v>ALTN006</v>
      </c>
    </row>
    <row r="96" spans="3:14">
      <c r="C96" s="51"/>
      <c r="N96" s="202"/>
    </row>
    <row r="97" spans="3:14">
      <c r="C97" s="51"/>
      <c r="N97" s="202" t="str">
        <f>M71</f>
        <v>ALTN007</v>
      </c>
    </row>
    <row r="98" spans="3:14">
      <c r="C98" s="51"/>
      <c r="N98" s="202"/>
    </row>
    <row r="99" spans="3:14">
      <c r="C99" s="51"/>
      <c r="N99" s="202" t="str">
        <f>M72</f>
        <v>ALTN008</v>
      </c>
    </row>
    <row r="100" spans="3:14">
      <c r="C100" s="51"/>
      <c r="N100" s="202"/>
    </row>
    <row r="101" spans="3:14">
      <c r="C101" s="51"/>
      <c r="N101" s="202" t="str">
        <f>M73</f>
        <v>ALTN009</v>
      </c>
    </row>
    <row r="102" spans="3:14">
      <c r="C102" s="51"/>
      <c r="N102" s="202"/>
    </row>
    <row r="103" spans="3:14">
      <c r="C103" s="51"/>
      <c r="N103" s="202" t="str">
        <f>M74</f>
        <v>ALTN010</v>
      </c>
    </row>
    <row r="104" spans="3:14">
      <c r="C104" s="51"/>
      <c r="N104" s="202"/>
    </row>
    <row r="105" spans="3:14">
      <c r="C105" s="51"/>
      <c r="N105" s="202" t="str">
        <f>M75</f>
        <v>ALTN011</v>
      </c>
    </row>
    <row r="106" spans="3:14">
      <c r="C106" s="51"/>
      <c r="N106" s="202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97:N98"/>
    <mergeCell ref="N99:N100"/>
    <mergeCell ref="N101:N102"/>
    <mergeCell ref="N103:N104"/>
    <mergeCell ref="N105:N106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3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855468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 t="shared" ref="AK9" si="2">((SUM(F9:AJ9))/8)-(SUMIF($F$6:$AJ$6,"C.Nhật",F9:AJ9)/8)</f>
        <v>26</v>
      </c>
      <c r="AL9" s="223">
        <f t="shared" ref="AL9" si="3">SUM(F10:AJ10)/8*1.5</f>
        <v>0</v>
      </c>
      <c r="AM9" s="225">
        <f t="shared" ref="AM9:AM15" si="4">SUMIF($F$6:$AJ$6,"C.Nhật",$F9:$AJ10)/8*2</f>
        <v>0</v>
      </c>
      <c r="AN9" s="219">
        <f t="shared" ref="AN9" si="5">SUM(AK9:AM10)</f>
        <v>26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3">
        <f t="shared" ref="AK11" si="6">((SUM(F11:AJ11))/8)-(SUMIF($F$6:$AJ$6,"C.Nhật",F11:AJ11)/8)</f>
        <v>26</v>
      </c>
      <c r="AL11" s="223">
        <f t="shared" ref="AL11" si="7">SUM(F12:AJ12)/8*1.5</f>
        <v>0</v>
      </c>
      <c r="AM11" s="225">
        <f t="shared" si="4"/>
        <v>0</v>
      </c>
      <c r="AN11" s="219">
        <f t="shared" ref="AN11" si="8">SUM(AK11:AM12)</f>
        <v>26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3">
        <f t="shared" ref="AK13" si="9">((SUM(F13:AJ13))/8)-(SUMIF($F$6:$AJ$6,"C.Nhật",F13:AJ13)/8)</f>
        <v>26</v>
      </c>
      <c r="AL13" s="223">
        <f t="shared" ref="AL13" si="10">SUM(F14:AJ14)/8*1.5</f>
        <v>0</v>
      </c>
      <c r="AM13" s="225">
        <f t="shared" si="4"/>
        <v>0</v>
      </c>
      <c r="AN13" s="219">
        <f t="shared" ref="AN13" si="11">SUM(AK13:AM14)</f>
        <v>26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3">
        <f t="shared" ref="AK15" si="12">((SUM(F15:AJ15))/8)-(SUMIF($F$6:$AJ$6,"C.Nhật",F15:AJ15)/8)</f>
        <v>26</v>
      </c>
      <c r="AL15" s="223">
        <f t="shared" ref="AL15" si="13">SUM(F16:AJ16)/8*1.5</f>
        <v>0</v>
      </c>
      <c r="AM15" s="225">
        <f t="shared" si="4"/>
        <v>0</v>
      </c>
      <c r="AN15" s="219">
        <f t="shared" ref="AN15" si="14">SUM(AK15:AM16)</f>
        <v>26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3">
        <f t="shared" ref="AK18" si="15">((SUM(F18:AJ18))/8)-(SUMIF($F$6:$AJ$6,"C.Nhật",F18:AJ18)/8)</f>
        <v>26</v>
      </c>
      <c r="AL18" s="223">
        <f t="shared" ref="AL18" si="16">SUM(F19:AJ19)/8*1.5</f>
        <v>0</v>
      </c>
      <c r="AM18" s="225">
        <f>SUMIF($F$6:$AJ$6,"C.Nhật",$F18:$AJ19)/8*2</f>
        <v>0</v>
      </c>
      <c r="AN18" s="219">
        <f>SUM(AK18:AM19)</f>
        <v>26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114" priority="24" stopIfTrue="1">
      <formula>IF(WEEKDAY(F$5)=1,TRUE,FALSE)</formula>
    </cfRule>
  </conditionalFormatting>
  <conditionalFormatting sqref="F9:AJ14">
    <cfRule type="expression" dxfId="113" priority="23" stopIfTrue="1">
      <formula>IF(WEEKDAY(F$5)=1,TRUE,FALSE)</formula>
    </cfRule>
  </conditionalFormatting>
  <conditionalFormatting sqref="F18:AJ19">
    <cfRule type="expression" dxfId="112" priority="4" stopIfTrue="1">
      <formula>IF(WEEKDAY(F$5)=1,TRUE,FALSE)</formula>
    </cfRule>
  </conditionalFormatting>
  <conditionalFormatting sqref="F18:AJ19">
    <cfRule type="expression" dxfId="111" priority="3" stopIfTrue="1">
      <formula>IF(WEEKDAY(F$5)=1,TRUE,FALSE)</formula>
    </cfRule>
  </conditionalFormatting>
  <conditionalFormatting sqref="F15:AJ16">
    <cfRule type="expression" dxfId="110" priority="2" stopIfTrue="1">
      <formula>IF(WEEKDAY(F$5)=1,TRUE,FALSE)</formula>
    </cfRule>
  </conditionalFormatting>
  <conditionalFormatting sqref="F15:AJ16">
    <cfRule type="expression" dxfId="10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4.855468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01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-1'!$B$8:$AS$19,36,0)</f>
        <v>26</v>
      </c>
      <c r="G10" s="146">
        <f t="shared" ref="G10" si="2">ROUND(E10/$U$2*F10,0)</f>
        <v>2600000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2600000</v>
      </c>
      <c r="L10" s="144">
        <f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-1'!$B$8:$AS$19,36,0)</f>
        <v>26</v>
      </c>
      <c r="G11" s="146">
        <f t="shared" ref="G11:G12" si="11">ROUND(E11/$U$2*F11,0)</f>
        <v>2500000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2500000</v>
      </c>
      <c r="L11" s="144">
        <f t="shared" ref="L11:L12" si="15">ROUND(F11*20000,0)</f>
        <v>520000</v>
      </c>
      <c r="M11" s="149">
        <f t="shared" ref="M11:M12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3020000</v>
      </c>
      <c r="R11" s="148">
        <f>VLOOKUP(B11,DS,23,0)</f>
        <v>0</v>
      </c>
      <c r="S11" s="150">
        <f t="shared" ref="S11:S12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-1'!$B$8:$AS$19,36,0)</f>
        <v>26</v>
      </c>
      <c r="G12" s="146">
        <f t="shared" si="11"/>
        <v>2000000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2500000</v>
      </c>
      <c r="F13" s="145">
        <f>VLOOKUP(B13,'CC -1'!$B$8:$AS$19,36,0)</f>
        <v>26</v>
      </c>
      <c r="G13" s="146">
        <f t="shared" ref="G13" si="21">ROUND(E13/$U$2*F13,0)</f>
        <v>2500000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2500000</v>
      </c>
      <c r="L13" s="144">
        <f t="shared" ref="L13" si="25">ROUND(F13*20000,0)</f>
        <v>520000</v>
      </c>
      <c r="M13" s="149">
        <f t="shared" ref="M13" si="26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3020000</v>
      </c>
      <c r="R13" s="148">
        <f>VLOOKUP(B13,DS,23,0)</f>
        <v>0</v>
      </c>
      <c r="S13" s="150">
        <f t="shared" ref="S13" si="28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9">SUM(K9:K10)</f>
        <v>2600000</v>
      </c>
      <c r="L15" s="163">
        <f t="shared" si="29"/>
        <v>520000</v>
      </c>
      <c r="M15" s="163">
        <f t="shared" si="29"/>
        <v>3120000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3120000</v>
      </c>
      <c r="R15" s="163">
        <f t="shared" si="2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4.42578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9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3">
        <f>((SUM(F9:AJ9))/8)-(SUMIF($F$6:$AJ$6,"C.Nhật",F9:AJ9)/8)</f>
        <v>24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24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3">
        <f>((SUM(F11:AJ11))/8)-(SUMIF($F$6:$AJ$6,"C.Nhật",F11:AJ11)/8)</f>
        <v>24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24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3">
        <f>((SUM(F13:AJ13))/8)-(SUMIF($F$6:$AJ$6,"C.Nhật",F13:AJ13)/8)</f>
        <v>24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24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3">
        <f>((SUM(F15:AJ15))/8)-(SUMIF($F$6:$AJ$6,"C.Nhật",F15:AJ15)/8)</f>
        <v>24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24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3">
        <f t="shared" ref="AK18" si="2">((SUM(F18:AJ18))/8)-(SUMIF($F$6:$AJ$6,"C.Nhật",F18:AJ18)/8)</f>
        <v>24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>SUM(AK18:AM19)</f>
        <v>24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G14">
    <cfRule type="expression" dxfId="108" priority="18" stopIfTrue="1">
      <formula>IF(WEEKDAY(F$5)=1,TRUE,FALSE)</formula>
    </cfRule>
  </conditionalFormatting>
  <conditionalFormatting sqref="F9:AJ10 F11:AG14">
    <cfRule type="expression" dxfId="107" priority="17" stopIfTrue="1">
      <formula>IF(WEEKDAY(F$5)=1,TRUE,FALSE)</formula>
    </cfRule>
  </conditionalFormatting>
  <conditionalFormatting sqref="AH18:AJ19">
    <cfRule type="expression" dxfId="106" priority="16" stopIfTrue="1">
      <formula>IF(WEEKDAY(AH$5)=1,TRUE,FALSE)</formula>
    </cfRule>
  </conditionalFormatting>
  <conditionalFormatting sqref="AH18:AJ19">
    <cfRule type="expression" dxfId="105" priority="15" stopIfTrue="1">
      <formula>IF(WEEKDAY(AH$5)=1,TRUE,FALSE)</formula>
    </cfRule>
  </conditionalFormatting>
  <conditionalFormatting sqref="AH11:AJ12">
    <cfRule type="expression" dxfId="104" priority="10" stopIfTrue="1">
      <formula>IF(WEEKDAY(AH$5)=1,TRUE,FALSE)</formula>
    </cfRule>
  </conditionalFormatting>
  <conditionalFormatting sqref="AH11:AJ12">
    <cfRule type="expression" dxfId="103" priority="9" stopIfTrue="1">
      <formula>IF(WEEKDAY(AH$5)=1,TRUE,FALSE)</formula>
    </cfRule>
  </conditionalFormatting>
  <conditionalFormatting sqref="AH13:AJ14">
    <cfRule type="expression" dxfId="102" priority="8" stopIfTrue="1">
      <formula>IF(WEEKDAY(AH$5)=1,TRUE,FALSE)</formula>
    </cfRule>
  </conditionalFormatting>
  <conditionalFormatting sqref="AH13:AJ14">
    <cfRule type="expression" dxfId="101" priority="7" stopIfTrue="1">
      <formula>IF(WEEKDAY(AH$5)=1,TRUE,FALSE)</formula>
    </cfRule>
  </conditionalFormatting>
  <conditionalFormatting sqref="F18:AG19">
    <cfRule type="expression" dxfId="100" priority="6" stopIfTrue="1">
      <formula>IF(WEEKDAY(F$5)=1,TRUE,FALSE)</formula>
    </cfRule>
  </conditionalFormatting>
  <conditionalFormatting sqref="F18:AG19">
    <cfRule type="expression" dxfId="99" priority="5" stopIfTrue="1">
      <formula>IF(WEEKDAY(F$5)=1,TRUE,FALSE)</formula>
    </cfRule>
  </conditionalFormatting>
  <conditionalFormatting sqref="F15:AG16">
    <cfRule type="expression" dxfId="98" priority="4" stopIfTrue="1">
      <formula>IF(WEEKDAY(F$5)=1,TRUE,FALSE)</formula>
    </cfRule>
  </conditionalFormatting>
  <conditionalFormatting sqref="F15:AG16">
    <cfRule type="expression" dxfId="97" priority="3" stopIfTrue="1">
      <formula>IF(WEEKDAY(F$5)=1,TRUE,FALSE)</formula>
    </cfRule>
  </conditionalFormatting>
  <conditionalFormatting sqref="AH15:AJ16">
    <cfRule type="expression" dxfId="96" priority="2" stopIfTrue="1">
      <formula>IF(WEEKDAY(AH$5)=1,TRUE,FALSE)</formula>
    </cfRule>
  </conditionalFormatting>
  <conditionalFormatting sqref="AH15:AJ16">
    <cfRule type="expression" dxfId="95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5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02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-2'!$B$8:$AS$19,36,0)</f>
        <v>24</v>
      </c>
      <c r="G10" s="146">
        <f t="shared" ref="G10" si="2">ROUND(E10/$U$2*F10,0)</f>
        <v>2600000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2600000</v>
      </c>
      <c r="L10" s="144">
        <f>ROUND(F10*20000,0)</f>
        <v>480000</v>
      </c>
      <c r="M10" s="149">
        <f t="shared" ref="M10" si="5">K10+L10</f>
        <v>3080000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3080000</v>
      </c>
      <c r="R10" s="148">
        <f>VLOOKUP(B10,DS,23,0)</f>
        <v>0</v>
      </c>
      <c r="S10" s="150">
        <f t="shared" ref="S10" si="7">Q10-R10</f>
        <v>3080000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-2'!$B$8:$AS$19,36,0)</f>
        <v>24</v>
      </c>
      <c r="G11" s="146">
        <f t="shared" ref="G11:G12" si="10">ROUND(E11/$U$2*F11,0)</f>
        <v>2500000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2500000</v>
      </c>
      <c r="L11" s="144">
        <f t="shared" ref="L11:L12" si="14">ROUND(F11*20000,0)</f>
        <v>480000</v>
      </c>
      <c r="M11" s="149">
        <f t="shared" ref="M11:M12" si="15">K11+L11</f>
        <v>2980000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2980000</v>
      </c>
      <c r="R11" s="148">
        <f>VLOOKUP(B11,DS,23,0)</f>
        <v>0</v>
      </c>
      <c r="S11" s="150">
        <f t="shared" ref="S11:S12" si="17">Q11-R11</f>
        <v>2980000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-2'!$B$8:$AS$19,36,0)</f>
        <v>24</v>
      </c>
      <c r="G12" s="146">
        <f t="shared" si="10"/>
        <v>2000000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2000000</v>
      </c>
      <c r="L12" s="144">
        <f t="shared" si="14"/>
        <v>480000</v>
      </c>
      <c r="M12" s="149">
        <f t="shared" si="15"/>
        <v>2480000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2480000</v>
      </c>
      <c r="R12" s="148">
        <f>VLOOKUP(B12,DS,23,0)</f>
        <v>0</v>
      </c>
      <c r="S12" s="150">
        <f t="shared" si="17"/>
        <v>2480000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-2'!$B$8:$AS$19,36,0)</f>
        <v>24</v>
      </c>
      <c r="G13" s="146">
        <f t="shared" ref="G13" si="20">ROUND(E13/$U$2*F13,0)</f>
        <v>2500000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2500000</v>
      </c>
      <c r="L13" s="144">
        <f t="shared" ref="L13" si="24">ROUND(F13*20000,0)</f>
        <v>480000</v>
      </c>
      <c r="M13" s="149">
        <f t="shared" ref="M13" si="25">K13+L13</f>
        <v>2980000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2980000</v>
      </c>
      <c r="R13" s="148">
        <f>VLOOKUP(B13,DS,23,0)</f>
        <v>0</v>
      </c>
      <c r="S13" s="150">
        <f t="shared" ref="S13" si="27">Q13-R13</f>
        <v>2980000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480000</v>
      </c>
      <c r="M15" s="163">
        <f t="shared" si="28"/>
        <v>3080000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3080000</v>
      </c>
      <c r="R15" s="163">
        <f t="shared" si="28"/>
        <v>0</v>
      </c>
      <c r="S15" s="163">
        <f>SUM(S9:S14)</f>
        <v>11520000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G18" sqref="G18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4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42064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42064</v>
      </c>
      <c r="G5" s="73">
        <f t="shared" ref="G5:AI5" si="0">F5+1</f>
        <v>42065</v>
      </c>
      <c r="H5" s="73">
        <f t="shared" si="0"/>
        <v>42066</v>
      </c>
      <c r="I5" s="73">
        <f t="shared" si="0"/>
        <v>42067</v>
      </c>
      <c r="J5" s="73">
        <f t="shared" si="0"/>
        <v>42068</v>
      </c>
      <c r="K5" s="73">
        <f t="shared" si="0"/>
        <v>42069</v>
      </c>
      <c r="L5" s="73">
        <f t="shared" si="0"/>
        <v>42070</v>
      </c>
      <c r="M5" s="73">
        <f t="shared" si="0"/>
        <v>42071</v>
      </c>
      <c r="N5" s="73">
        <f t="shared" si="0"/>
        <v>42072</v>
      </c>
      <c r="O5" s="73">
        <f t="shared" si="0"/>
        <v>42073</v>
      </c>
      <c r="P5" s="73">
        <f t="shared" si="0"/>
        <v>42074</v>
      </c>
      <c r="Q5" s="73">
        <f t="shared" si="0"/>
        <v>42075</v>
      </c>
      <c r="R5" s="73">
        <f t="shared" si="0"/>
        <v>42076</v>
      </c>
      <c r="S5" s="73">
        <f t="shared" si="0"/>
        <v>42077</v>
      </c>
      <c r="T5" s="73">
        <f t="shared" si="0"/>
        <v>42078</v>
      </c>
      <c r="U5" s="73">
        <f t="shared" si="0"/>
        <v>42079</v>
      </c>
      <c r="V5" s="73">
        <f t="shared" si="0"/>
        <v>42080</v>
      </c>
      <c r="W5" s="73">
        <f t="shared" si="0"/>
        <v>42081</v>
      </c>
      <c r="X5" s="73">
        <f t="shared" si="0"/>
        <v>42082</v>
      </c>
      <c r="Y5" s="73">
        <f t="shared" si="0"/>
        <v>42083</v>
      </c>
      <c r="Z5" s="73">
        <f t="shared" si="0"/>
        <v>42084</v>
      </c>
      <c r="AA5" s="73">
        <f t="shared" si="0"/>
        <v>42085</v>
      </c>
      <c r="AB5" s="73">
        <f t="shared" si="0"/>
        <v>42086</v>
      </c>
      <c r="AC5" s="73">
        <f t="shared" si="0"/>
        <v>42087</v>
      </c>
      <c r="AD5" s="73">
        <f t="shared" si="0"/>
        <v>42088</v>
      </c>
      <c r="AE5" s="73">
        <f t="shared" si="0"/>
        <v>42089</v>
      </c>
      <c r="AF5" s="73">
        <f t="shared" si="0"/>
        <v>42090</v>
      </c>
      <c r="AG5" s="73">
        <f t="shared" si="0"/>
        <v>42091</v>
      </c>
      <c r="AH5" s="73">
        <f>AG5+1</f>
        <v>42092</v>
      </c>
      <c r="AI5" s="73">
        <f t="shared" si="0"/>
        <v>42093</v>
      </c>
      <c r="AJ5" s="73"/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C.Nhật</v>
      </c>
      <c r="G6" s="75" t="str">
        <f t="shared" ref="G6:AI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/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25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25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25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3">
        <f>((SUM(F15:AJ15))/8)-(SUMIF($F$6:$AJ$6,"C.Nhật",F15:AJ15)/8)</f>
        <v>25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25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3">
        <f t="shared" ref="AK18" si="2">((SUM(F18:AJ18))/8)-(SUMIF($F$6:$AJ$6,"C.Nhật",F18:AJ18)/8)</f>
        <v>25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>SUM(AK18:AM19)</f>
        <v>25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94" priority="24" stopIfTrue="1">
      <formula>IF(WEEKDAY(F$5)=1,TRUE,FALSE)</formula>
    </cfRule>
  </conditionalFormatting>
  <conditionalFormatting sqref="F9:AJ10 F11:AI14">
    <cfRule type="expression" dxfId="93" priority="23" stopIfTrue="1">
      <formula>IF(WEEKDAY(F$5)=1,TRUE,FALSE)</formula>
    </cfRule>
  </conditionalFormatting>
  <conditionalFormatting sqref="AJ18:AJ19">
    <cfRule type="expression" dxfId="92" priority="16" stopIfTrue="1">
      <formula>IF(WEEKDAY(AJ$5)=1,TRUE,FALSE)</formula>
    </cfRule>
  </conditionalFormatting>
  <conditionalFormatting sqref="AJ18:AJ19">
    <cfRule type="expression" dxfId="91" priority="15" stopIfTrue="1">
      <formula>IF(WEEKDAY(AJ$5)=1,TRUE,FALSE)</formula>
    </cfRule>
  </conditionalFormatting>
  <conditionalFormatting sqref="AJ11:AJ12">
    <cfRule type="expression" dxfId="90" priority="14" stopIfTrue="1">
      <formula>IF(WEEKDAY(AJ$5)=1,TRUE,FALSE)</formula>
    </cfRule>
  </conditionalFormatting>
  <conditionalFormatting sqref="AJ11:AJ12">
    <cfRule type="expression" dxfId="89" priority="13" stopIfTrue="1">
      <formula>IF(WEEKDAY(AJ$5)=1,TRUE,FALSE)</formula>
    </cfRule>
  </conditionalFormatting>
  <conditionalFormatting sqref="AJ13:AJ14">
    <cfRule type="expression" dxfId="88" priority="12" stopIfTrue="1">
      <formula>IF(WEEKDAY(AJ$5)=1,TRUE,FALSE)</formula>
    </cfRule>
  </conditionalFormatting>
  <conditionalFormatting sqref="AJ13:AJ14">
    <cfRule type="expression" dxfId="87" priority="11" stopIfTrue="1">
      <formula>IF(WEEKDAY(AJ$5)=1,TRUE,FALSE)</formula>
    </cfRule>
  </conditionalFormatting>
  <conditionalFormatting sqref="F18:F19">
    <cfRule type="expression" dxfId="86" priority="10" stopIfTrue="1">
      <formula>IF(WEEKDAY(F$5)=1,TRUE,FALSE)</formula>
    </cfRule>
  </conditionalFormatting>
  <conditionalFormatting sqref="F18:F19">
    <cfRule type="expression" dxfId="85" priority="9" stopIfTrue="1">
      <formula>IF(WEEKDAY(F$5)=1,TRUE,FALSE)</formula>
    </cfRule>
  </conditionalFormatting>
  <conditionalFormatting sqref="F15:F16">
    <cfRule type="expression" dxfId="84" priority="8" stopIfTrue="1">
      <formula>IF(WEEKDAY(F$5)=1,TRUE,FALSE)</formula>
    </cfRule>
  </conditionalFormatting>
  <conditionalFormatting sqref="F15:F16">
    <cfRule type="expression" dxfId="83" priority="7" stopIfTrue="1">
      <formula>IF(WEEKDAY(F$5)=1,TRUE,FALSE)</formula>
    </cfRule>
  </conditionalFormatting>
  <conditionalFormatting sqref="AJ15:AJ16">
    <cfRule type="expression" dxfId="82" priority="6" stopIfTrue="1">
      <formula>IF(WEEKDAY(AJ$5)=1,TRUE,FALSE)</formula>
    </cfRule>
  </conditionalFormatting>
  <conditionalFormatting sqref="AJ15:AJ16">
    <cfRule type="expression" dxfId="81" priority="5" stopIfTrue="1">
      <formula>IF(WEEKDAY(AJ$5)=1,TRUE,FALSE)</formula>
    </cfRule>
  </conditionalFormatting>
  <conditionalFormatting sqref="G15:AI16">
    <cfRule type="expression" dxfId="80" priority="4" stopIfTrue="1">
      <formula>IF(WEEKDAY(G$5)=1,TRUE,FALSE)</formula>
    </cfRule>
  </conditionalFormatting>
  <conditionalFormatting sqref="G15:AI16">
    <cfRule type="expression" dxfId="79" priority="3" stopIfTrue="1">
      <formula>IF(WEEKDAY(G$5)=1,TRUE,FALSE)</formula>
    </cfRule>
  </conditionalFormatting>
  <conditionalFormatting sqref="G18:AI19">
    <cfRule type="expression" dxfId="78" priority="2" stopIfTrue="1">
      <formula>IF(WEEKDAY(G$5)=1,TRUE,FALSE)</formula>
    </cfRule>
  </conditionalFormatting>
  <conditionalFormatting sqref="G18:AI19">
    <cfRule type="expression" dxfId="77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G16" sqref="G16"/>
    </sheetView>
  </sheetViews>
  <sheetFormatPr defaultRowHeight="11.25"/>
  <cols>
    <col min="1" max="1" width="4.28515625" style="183" customWidth="1"/>
    <col min="2" max="2" width="8.42578125" style="183" customWidth="1"/>
    <col min="3" max="3" width="25.42578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03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42064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-3'!$B$8:$AS$19,36,0)</f>
        <v>25</v>
      </c>
      <c r="G10" s="146">
        <f t="shared" ref="G10" si="2">ROUND(E10/$U$2*F10,0)</f>
        <v>2600000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-3'!$B$8:$AS$19,36,0)</f>
        <v>25</v>
      </c>
      <c r="G11" s="146">
        <f t="shared" ref="G11:G12" si="10">ROUND(E11/$U$2*F11,0)</f>
        <v>2500000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-3'!$B$8:$AS$19,36,0)</f>
        <v>25</v>
      </c>
      <c r="G12" s="146">
        <f t="shared" si="10"/>
        <v>2000000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-3'!$B$8:$AS$19,36,0)</f>
        <v>25</v>
      </c>
      <c r="G13" s="146">
        <f t="shared" ref="G13" si="20">ROUND(E13/$U$2*F13,0)</f>
        <v>2500000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25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3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25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25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25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3">
        <f>((SUM(F15:AJ15))/8)-(SUMIF($F$6:$AJ$6,"C.Nhật",F15:AJ15)/8)</f>
        <v>25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25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3">
        <f t="shared" ref="AK18" si="2">((SUM(F18:AJ18))/8)-(SUMIF($F$6:$AJ$6,"C.Nhật",F18:AJ18)/8)</f>
        <v>25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>SUM(AK18:AM19)</f>
        <v>25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76" priority="20" stopIfTrue="1">
      <formula>IF(WEEKDAY(F$5)=1,TRUE,FALSE)</formula>
    </cfRule>
  </conditionalFormatting>
  <conditionalFormatting sqref="F9:AJ10 F11:AI14">
    <cfRule type="expression" dxfId="75" priority="19" stopIfTrue="1">
      <formula>IF(WEEKDAY(F$5)=1,TRUE,FALSE)</formula>
    </cfRule>
  </conditionalFormatting>
  <conditionalFormatting sqref="AJ18:AJ19">
    <cfRule type="expression" dxfId="74" priority="18" stopIfTrue="1">
      <formula>IF(WEEKDAY(AJ$5)=1,TRUE,FALSE)</formula>
    </cfRule>
  </conditionalFormatting>
  <conditionalFormatting sqref="AJ18:AJ19">
    <cfRule type="expression" dxfId="73" priority="17" stopIfTrue="1">
      <formula>IF(WEEKDAY(AJ$5)=1,TRUE,FALSE)</formula>
    </cfRule>
  </conditionalFormatting>
  <conditionalFormatting sqref="AJ11:AJ12">
    <cfRule type="expression" dxfId="72" priority="10" stopIfTrue="1">
      <formula>IF(WEEKDAY(AJ$5)=1,TRUE,FALSE)</formula>
    </cfRule>
  </conditionalFormatting>
  <conditionalFormatting sqref="AJ11:AJ12">
    <cfRule type="expression" dxfId="71" priority="9" stopIfTrue="1">
      <formula>IF(WEEKDAY(AJ$5)=1,TRUE,FALSE)</formula>
    </cfRule>
  </conditionalFormatting>
  <conditionalFormatting sqref="AJ13:AJ14">
    <cfRule type="expression" dxfId="70" priority="8" stopIfTrue="1">
      <formula>IF(WEEKDAY(AJ$5)=1,TRUE,FALSE)</formula>
    </cfRule>
  </conditionalFormatting>
  <conditionalFormatting sqref="AJ13:AJ14">
    <cfRule type="expression" dxfId="69" priority="7" stopIfTrue="1">
      <formula>IF(WEEKDAY(AJ$5)=1,TRUE,FALSE)</formula>
    </cfRule>
  </conditionalFormatting>
  <conditionalFormatting sqref="F18:AI19">
    <cfRule type="expression" dxfId="68" priority="6" stopIfTrue="1">
      <formula>IF(WEEKDAY(F$5)=1,TRUE,FALSE)</formula>
    </cfRule>
  </conditionalFormatting>
  <conditionalFormatting sqref="F18:AI19">
    <cfRule type="expression" dxfId="67" priority="5" stopIfTrue="1">
      <formula>IF(WEEKDAY(F$5)=1,TRUE,FALSE)</formula>
    </cfRule>
  </conditionalFormatting>
  <conditionalFormatting sqref="F15:AI16">
    <cfRule type="expression" dxfId="66" priority="4" stopIfTrue="1">
      <formula>IF(WEEKDAY(F$5)=1,TRUE,FALSE)</formula>
    </cfRule>
  </conditionalFormatting>
  <conditionalFormatting sqref="F15:AI16">
    <cfRule type="expression" dxfId="65" priority="3" stopIfTrue="1">
      <formula>IF(WEEKDAY(F$5)=1,TRUE,FALSE)</formula>
    </cfRule>
  </conditionalFormatting>
  <conditionalFormatting sqref="AJ15:AJ16">
    <cfRule type="expression" dxfId="64" priority="2" stopIfTrue="1">
      <formula>IF(WEEKDAY(AJ$5)=1,TRUE,FALSE)</formula>
    </cfRule>
  </conditionalFormatting>
  <conditionalFormatting sqref="AJ15:AJ16">
    <cfRule type="expression" dxfId="6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04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-4'!$B$8:$AS$19,36,0)</f>
        <v>25</v>
      </c>
      <c r="G10" s="146">
        <f t="shared" ref="G10" si="2">ROUND(E10/$U$2*F10,0)</f>
        <v>2600000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-4'!$B$8:$AS$19,36,0)</f>
        <v>25</v>
      </c>
      <c r="G11" s="146">
        <f t="shared" ref="G11:G12" si="10">ROUND(E11/$U$2*F11,0)</f>
        <v>2500000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-4'!$B$8:$AS$19,36,0)</f>
        <v>25</v>
      </c>
      <c r="G12" s="146">
        <f t="shared" si="10"/>
        <v>2000000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-4'!$B$8:$AS$19,36,0)</f>
        <v>25</v>
      </c>
      <c r="G13" s="146">
        <f t="shared" ref="G13" si="20">ROUND(E13/$U$2*F13,0)</f>
        <v>2500000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42578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.5703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25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25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25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3">
        <f>((SUM(F15:AJ15))/8)-(SUMIF($F$6:$AJ$6,"C.Nhật",F15:AJ15)/8)</f>
        <v>25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25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3">
        <f t="shared" ref="AK18" si="2">((SUM(F18:AJ18))/8)-(SUMIF($F$6:$AJ$6,"C.Nhật",F18:AJ18)/8)</f>
        <v>25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>SUM(AK18:AM19)</f>
        <v>25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62" priority="18" stopIfTrue="1">
      <formula>IF(WEEKDAY(F$5)=1,TRUE,FALSE)</formula>
    </cfRule>
  </conditionalFormatting>
  <conditionalFormatting sqref="F9:AJ14">
    <cfRule type="expression" dxfId="61" priority="17" stopIfTrue="1">
      <formula>IF(WEEKDAY(F$5)=1,TRUE,FALSE)</formula>
    </cfRule>
  </conditionalFormatting>
  <conditionalFormatting sqref="F18:AJ19">
    <cfRule type="expression" dxfId="60" priority="4" stopIfTrue="1">
      <formula>IF(WEEKDAY(F$5)=1,TRUE,FALSE)</formula>
    </cfRule>
  </conditionalFormatting>
  <conditionalFormatting sqref="F18:AJ19">
    <cfRule type="expression" dxfId="59" priority="3" stopIfTrue="1">
      <formula>IF(WEEKDAY(F$5)=1,TRUE,FALSE)</formula>
    </cfRule>
  </conditionalFormatting>
  <conditionalFormatting sqref="F15:AJ16">
    <cfRule type="expression" dxfId="58" priority="2" stopIfTrue="1">
      <formula>IF(WEEKDAY(F$5)=1,TRUE,FALSE)</formula>
    </cfRule>
  </conditionalFormatting>
  <conditionalFormatting sqref="F15:AJ16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G16" sqref="G16"/>
    </sheetView>
  </sheetViews>
  <sheetFormatPr defaultRowHeight="11.25"/>
  <cols>
    <col min="1" max="1" width="4.28515625" style="183" customWidth="1"/>
    <col min="2" max="2" width="8.42578125" style="183" customWidth="1"/>
    <col min="3" max="3" width="26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05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-5'!$B$8:$AS$19,36,0)</f>
        <v>25</v>
      </c>
      <c r="G10" s="146">
        <f t="shared" ref="G10" si="2">ROUND(E10/$U$2*F10,0)</f>
        <v>2600000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-5'!$B$8:$AS$19,36,0)</f>
        <v>25</v>
      </c>
      <c r="G11" s="146">
        <f t="shared" ref="G11:G12" si="10">ROUND(E11/$U$2*F11,0)</f>
        <v>2500000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-5'!$B$8:$AS$19,36,0)</f>
        <v>25</v>
      </c>
      <c r="G12" s="146">
        <f t="shared" si="10"/>
        <v>2000000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-5'!$B$8:$AS$19,36,0)</f>
        <v>25</v>
      </c>
      <c r="G13" s="146">
        <f t="shared" ref="G13" si="20">ROUND(E13/$U$2*F13,0)</f>
        <v>2500000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C1" sqref="C1:C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26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26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26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3">
        <f>((SUM(F15:AJ15))/8)-(SUMIF($F$6:$AJ$6,"C.Nhật",F15:AJ15)/8)</f>
        <v>26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26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3">
        <f t="shared" ref="AK18" si="2">((SUM(F18:AJ18))/8)-(SUMIF($F$6:$AJ$6,"C.Nhật",F18:AJ18)/8)</f>
        <v>26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>SUM(AK18:AM19)</f>
        <v>26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56" priority="26" stopIfTrue="1">
      <formula>IF(WEEKDAY(F$5)=1,TRUE,FALSE)</formula>
    </cfRule>
  </conditionalFormatting>
  <conditionalFormatting sqref="F9:AJ10 F11:AI14">
    <cfRule type="expression" dxfId="55" priority="25" stopIfTrue="1">
      <formula>IF(WEEKDAY(F$5)=1,TRUE,FALSE)</formula>
    </cfRule>
  </conditionalFormatting>
  <conditionalFormatting sqref="AJ18:AJ19">
    <cfRule type="expression" dxfId="54" priority="24" stopIfTrue="1">
      <formula>IF(WEEKDAY(AJ$5)=1,TRUE,FALSE)</formula>
    </cfRule>
  </conditionalFormatting>
  <conditionalFormatting sqref="AJ18:AJ19">
    <cfRule type="expression" dxfId="53" priority="23" stopIfTrue="1">
      <formula>IF(WEEKDAY(AJ$5)=1,TRUE,FALSE)</formula>
    </cfRule>
  </conditionalFormatting>
  <conditionalFormatting sqref="AJ11:AJ12">
    <cfRule type="expression" dxfId="52" priority="10" stopIfTrue="1">
      <formula>IF(WEEKDAY(AJ$5)=1,TRUE,FALSE)</formula>
    </cfRule>
  </conditionalFormatting>
  <conditionalFormatting sqref="AJ11:AJ12">
    <cfRule type="expression" dxfId="51" priority="9" stopIfTrue="1">
      <formula>IF(WEEKDAY(AJ$5)=1,TRUE,FALSE)</formula>
    </cfRule>
  </conditionalFormatting>
  <conditionalFormatting sqref="AJ13:AJ14">
    <cfRule type="expression" dxfId="50" priority="8" stopIfTrue="1">
      <formula>IF(WEEKDAY(AJ$5)=1,TRUE,FALSE)</formula>
    </cfRule>
  </conditionalFormatting>
  <conditionalFormatting sqref="AJ13:AJ14">
    <cfRule type="expression" dxfId="49" priority="7" stopIfTrue="1">
      <formula>IF(WEEKDAY(AJ$5)=1,TRUE,FALSE)</formula>
    </cfRule>
  </conditionalFormatting>
  <conditionalFormatting sqref="F18:AI19">
    <cfRule type="expression" dxfId="48" priority="6" stopIfTrue="1">
      <formula>IF(WEEKDAY(F$5)=1,TRUE,FALSE)</formula>
    </cfRule>
  </conditionalFormatting>
  <conditionalFormatting sqref="F18:AI19">
    <cfRule type="expression" dxfId="47" priority="5" stopIfTrue="1">
      <formula>IF(WEEKDAY(F$5)=1,TRUE,FALSE)</formula>
    </cfRule>
  </conditionalFormatting>
  <conditionalFormatting sqref="F15:AI16">
    <cfRule type="expression" dxfId="46" priority="4" stopIfTrue="1">
      <formula>IF(WEEKDAY(F$5)=1,TRUE,FALSE)</formula>
    </cfRule>
  </conditionalFormatting>
  <conditionalFormatting sqref="F15:AI16">
    <cfRule type="expression" dxfId="45" priority="3" stopIfTrue="1">
      <formula>IF(WEEKDAY(F$5)=1,TRUE,FALSE)</formula>
    </cfRule>
  </conditionalFormatting>
  <conditionalFormatting sqref="AJ15:AJ16">
    <cfRule type="expression" dxfId="44" priority="2" stopIfTrue="1">
      <formula>IF(WEEKDAY(AJ$5)=1,TRUE,FALSE)</formula>
    </cfRule>
  </conditionalFormatting>
  <conditionalFormatting sqref="AJ15:AJ16">
    <cfRule type="expression" dxfId="4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F14" sqref="F14"/>
    </sheetView>
  </sheetViews>
  <sheetFormatPr defaultRowHeight="11.25"/>
  <cols>
    <col min="1" max="1" width="4.28515625" style="183" customWidth="1"/>
    <col min="2" max="2" width="8.42578125" style="183" customWidth="1"/>
    <col min="3" max="3" width="24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06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-6'!$B$8:$AS$19,36,0)</f>
        <v>26</v>
      </c>
      <c r="G10" s="146">
        <f t="shared" ref="G10" si="2">ROUND(E10/$U$2*F10,0)</f>
        <v>2600000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2500000</v>
      </c>
      <c r="F11" s="145">
        <f>VLOOKUP(B11,'CC -6'!$B$8:$AS$19,36,0)</f>
        <v>26</v>
      </c>
      <c r="G11" s="146">
        <f t="shared" ref="G11:G13" si="10">ROUND(E11/$U$2*F11,0)</f>
        <v>2500000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2500000</v>
      </c>
      <c r="L11" s="144">
        <f t="shared" ref="L11:L13" si="14">ROUND(F11*20000,0)</f>
        <v>520000</v>
      </c>
      <c r="M11" s="149">
        <f t="shared" ref="M11:M13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3020000</v>
      </c>
      <c r="R11" s="148">
        <f>VLOOKUP(B11,DS,23,0)</f>
        <v>0</v>
      </c>
      <c r="S11" s="150">
        <f t="shared" ref="S11:S13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-6'!$B$8:$AS$19,36,0)</f>
        <v>26</v>
      </c>
      <c r="G12" s="146">
        <f t="shared" si="10"/>
        <v>2000000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2500000</v>
      </c>
      <c r="F13" s="145">
        <f>VLOOKUP(B13,'CC -6'!$B$8:$AS$19,36,0)</f>
        <v>26</v>
      </c>
      <c r="G13" s="146">
        <f t="shared" si="10"/>
        <v>2500000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2500000</v>
      </c>
      <c r="L13" s="144">
        <f t="shared" si="14"/>
        <v>520000</v>
      </c>
      <c r="M13" s="149">
        <f t="shared" si="15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3020000</v>
      </c>
      <c r="R13" s="148">
        <f>VLOOKUP(B13,DS,23,0)</f>
        <v>0</v>
      </c>
      <c r="S13" s="150">
        <f t="shared" si="17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8">SUM(K9:K10)</f>
        <v>2600000</v>
      </c>
      <c r="L15" s="163">
        <f t="shared" si="18"/>
        <v>520000</v>
      </c>
      <c r="M15" s="163">
        <f t="shared" si="18"/>
        <v>3120000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3120000</v>
      </c>
      <c r="R15" s="163">
        <f t="shared" si="1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855468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27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27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27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3">
        <f>((SUM(F15:AJ15))/8)-(SUMIF($F$6:$AJ$6,"C.Nhật",F15:AJ15)/8)</f>
        <v>27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27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3">
        <f t="shared" ref="AK18" si="2">((SUM(F18:AJ18))/8)-(SUMIF($F$6:$AJ$6,"C.Nhật",F18:AJ18)/8)</f>
        <v>27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27</v>
      </c>
      <c r="AO18" s="227">
        <v>0</v>
      </c>
      <c r="AP18" s="219"/>
      <c r="AQ18" s="219"/>
      <c r="AR18" s="219"/>
      <c r="AS18" s="221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3:AS14"/>
    <mergeCell ref="AP11:AP12"/>
    <mergeCell ref="AQ11:AQ12"/>
    <mergeCell ref="AR11:AR12"/>
    <mergeCell ref="AS11:AS12"/>
    <mergeCell ref="AQ13:AQ14"/>
    <mergeCell ref="AR13:AR14"/>
    <mergeCell ref="AP13:AP14"/>
    <mergeCell ref="A13:A14"/>
    <mergeCell ref="B13:B14"/>
    <mergeCell ref="C13:C14"/>
    <mergeCell ref="D13:D14"/>
    <mergeCell ref="AK13:AK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</mergeCells>
  <conditionalFormatting sqref="F5:AJ6 F9:AJ14">
    <cfRule type="expression" dxfId="42" priority="15" stopIfTrue="1">
      <formula>IF(WEEKDAY(F$5)=1,TRUE,FALSE)</formula>
    </cfRule>
  </conditionalFormatting>
  <conditionalFormatting sqref="F9:AJ14">
    <cfRule type="expression" dxfId="41" priority="14" stopIfTrue="1">
      <formula>IF(WEEKDAY(F$5)=1,TRUE,FALSE)</formula>
    </cfRule>
  </conditionalFormatting>
  <conditionalFormatting sqref="F18:AJ19">
    <cfRule type="expression" dxfId="40" priority="4" stopIfTrue="1">
      <formula>IF(WEEKDAY(F$5)=1,TRUE,FALSE)</formula>
    </cfRule>
  </conditionalFormatting>
  <conditionalFormatting sqref="F18:AJ19">
    <cfRule type="expression" dxfId="39" priority="3" stopIfTrue="1">
      <formula>IF(WEEKDAY(F$5)=1,TRUE,FALSE)</formula>
    </cfRule>
  </conditionalFormatting>
  <conditionalFormatting sqref="F15:AJ16">
    <cfRule type="expression" dxfId="38" priority="2" stopIfTrue="1">
      <formula>IF(WEEKDAY(F$5)=1,TRUE,FALSE)</formula>
    </cfRule>
  </conditionalFormatting>
  <conditionalFormatting sqref="F15:AJ16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F14" sqref="F14"/>
    </sheetView>
  </sheetViews>
  <sheetFormatPr defaultRowHeight="11.25"/>
  <cols>
    <col min="1" max="1" width="4.28515625" style="183" customWidth="1"/>
    <col min="2" max="2" width="8.42578125" style="183" customWidth="1"/>
    <col min="3" max="3" width="24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07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-7'!$B$8:$AS$19,36,0)</f>
        <v>27</v>
      </c>
      <c r="G10" s="146">
        <f t="shared" ref="G10" si="2">ROUND(E10/$U$2*F10,0)</f>
        <v>2600000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-7'!$B$8:$AS$19,36,0)</f>
        <v>27</v>
      </c>
      <c r="G11" s="146">
        <f t="shared" ref="G11:G12" si="11">ROUND(E11/$U$2*F11,0)</f>
        <v>2500000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-7'!$B$8:$AS$19,36,0)</f>
        <v>27</v>
      </c>
      <c r="G12" s="146">
        <f t="shared" si="11"/>
        <v>2000000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-7'!$B$8:$AS$19,36,0)</f>
        <v>27</v>
      </c>
      <c r="G13" s="146">
        <f t="shared" ref="G13" si="20">ROUND(E13/$U$2*F13,0)</f>
        <v>2500000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26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26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26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3">
        <f>((SUM(F15:AJ15))/8)-(SUMIF($F$6:$AJ$6,"C.Nhật",F15:AJ15)/8)</f>
        <v>26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26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3">
        <f t="shared" ref="AK18" si="2">((SUM(F18:AJ18))/8)-(SUMIF($F$6:$AJ$6,"C.Nhật",F18:AJ18)/8)</f>
        <v>26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26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36" priority="13" stopIfTrue="1">
      <formula>IF(WEEKDAY(F$5)=1,TRUE,FALSE)</formula>
    </cfRule>
  </conditionalFormatting>
  <conditionalFormatting sqref="F9:AJ14">
    <cfRule type="expression" dxfId="35" priority="12" stopIfTrue="1">
      <formula>IF(WEEKDAY(F$5)=1,TRUE,FALSE)</formula>
    </cfRule>
  </conditionalFormatting>
  <conditionalFormatting sqref="F18:AJ19">
    <cfRule type="expression" dxfId="34" priority="3" stopIfTrue="1">
      <formula>IF(WEEKDAY(F$5)=1,TRUE,FALSE)</formula>
    </cfRule>
  </conditionalFormatting>
  <conditionalFormatting sqref="F15:AJ16">
    <cfRule type="expression" dxfId="33" priority="2" stopIfTrue="1">
      <formula>IF(WEEKDAY(F$5)=1,TRUE,FALSE)</formula>
    </cfRule>
  </conditionalFormatting>
  <conditionalFormatting sqref="F15:AJ16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71093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08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-8'!$B$8:$AS$19,36,0)</f>
        <v>26</v>
      </c>
      <c r="G10" s="146">
        <f t="shared" ref="G10" si="2">ROUND(E10/$U$2*F10,0)</f>
        <v>2600000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 t="shared" ref="L10" si="5"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-8'!$B$8:$AS$19,36,0)</f>
        <v>26</v>
      </c>
      <c r="G11" s="146">
        <f t="shared" ref="G11:G13" si="11">ROUND(E11/$U$2*F11,0)</f>
        <v>2500000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2500000</v>
      </c>
      <c r="L11" s="144">
        <f t="shared" ref="L11:L13" si="15">ROUND(F11*20000,0)</f>
        <v>520000</v>
      </c>
      <c r="M11" s="149">
        <f t="shared" ref="M11:M13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3020000</v>
      </c>
      <c r="R11" s="148">
        <f>VLOOKUP(B11,DS,23,0)</f>
        <v>0</v>
      </c>
      <c r="S11" s="150">
        <f t="shared" ref="S11:S13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-8'!$B$8:$AS$19,36,0)</f>
        <v>26</v>
      </c>
      <c r="G12" s="146">
        <f t="shared" si="11"/>
        <v>2000000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-8'!$B$8:$AS$19,36,0)</f>
        <v>26</v>
      </c>
      <c r="G13" s="146">
        <f t="shared" si="11"/>
        <v>2500000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2500000</v>
      </c>
      <c r="L13" s="144">
        <f t="shared" si="15"/>
        <v>520000</v>
      </c>
      <c r="M13" s="149">
        <f t="shared" si="16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3020000</v>
      </c>
      <c r="R13" s="148">
        <f>VLOOKUP(B13,DS,23,0)</f>
        <v>0</v>
      </c>
      <c r="S13" s="150">
        <f t="shared" si="18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520000</v>
      </c>
      <c r="M15" s="163">
        <f t="shared" si="19"/>
        <v>3120000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3120000</v>
      </c>
      <c r="R15" s="163">
        <f t="shared" si="1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V11" sqref="V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25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>
        <v>4.32376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11.540469999999999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11.540469999999999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25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3">
        <f>((SUM(F15:AJ15))/8)-(SUMIF($F$6:$AJ$6,"C.Nhật",F15:AJ15)/8)</f>
        <v>25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25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2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3">
        <f t="shared" ref="AK18" si="2">((SUM(F18:AJ18))/8)-(SUMIF($F$6:$AJ$6,"C.Nhật",F18:AJ18)/8)</f>
        <v>25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25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8:AJ19 F11:AI14">
    <cfRule type="expression" dxfId="31" priority="21" stopIfTrue="1">
      <formula>IF(WEEKDAY(F$5)=1,TRUE,FALSE)</formula>
    </cfRule>
  </conditionalFormatting>
  <conditionalFormatting sqref="F9:AJ10 F11:AI14">
    <cfRule type="expression" dxfId="30" priority="20" stopIfTrue="1">
      <formula>IF(WEEKDAY(F$5)=1,TRUE,FALSE)</formula>
    </cfRule>
  </conditionalFormatting>
  <conditionalFormatting sqref="AJ11:AJ12">
    <cfRule type="expression" dxfId="29" priority="9" stopIfTrue="1">
      <formula>IF(WEEKDAY(AJ$5)=1,TRUE,FALSE)</formula>
    </cfRule>
  </conditionalFormatting>
  <conditionalFormatting sqref="AJ11:AJ12">
    <cfRule type="expression" dxfId="28" priority="8" stopIfTrue="1">
      <formula>IF(WEEKDAY(AJ$5)=1,TRUE,FALSE)</formula>
    </cfRule>
  </conditionalFormatting>
  <conditionalFormatting sqref="AJ13:AJ14">
    <cfRule type="expression" dxfId="27" priority="7" stopIfTrue="1">
      <formula>IF(WEEKDAY(AJ$5)=1,TRUE,FALSE)</formula>
    </cfRule>
  </conditionalFormatting>
  <conditionalFormatting sqref="AJ13:AJ14">
    <cfRule type="expression" dxfId="26" priority="6" stopIfTrue="1">
      <formula>IF(WEEKDAY(AJ$5)=1,TRUE,FALSE)</formula>
    </cfRule>
  </conditionalFormatting>
  <conditionalFormatting sqref="F18:AI19">
    <cfRule type="expression" dxfId="25" priority="5" stopIfTrue="1">
      <formula>IF(WEEKDAY(F$5)=1,TRUE,FALSE)</formula>
    </cfRule>
  </conditionalFormatting>
  <conditionalFormatting sqref="F15:AI16">
    <cfRule type="expression" dxfId="24" priority="4" stopIfTrue="1">
      <formula>IF(WEEKDAY(F$5)=1,TRUE,FALSE)</formula>
    </cfRule>
  </conditionalFormatting>
  <conditionalFormatting sqref="F15:AI16">
    <cfRule type="expression" dxfId="23" priority="3" stopIfTrue="1">
      <formula>IF(WEEKDAY(F$5)=1,TRUE,FALSE)</formula>
    </cfRule>
  </conditionalFormatting>
  <conditionalFormatting sqref="AJ15:AJ16">
    <cfRule type="expression" dxfId="22" priority="2" stopIfTrue="1">
      <formula>IF(WEEKDAY(AJ$5)=1,TRUE,FALSE)</formula>
    </cfRule>
  </conditionalFormatting>
  <conditionalFormatting sqref="AJ15:AJ16">
    <cfRule type="expression" dxfId="21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28515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09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-9'!$B$8:$AS$19,36,0)</f>
        <v>25</v>
      </c>
      <c r="G10" s="146">
        <f>ROUND(E10/$U$2*F10,0)</f>
        <v>2600000</v>
      </c>
      <c r="H10" s="145">
        <f>(VLOOKUP(B10,'CC -9'!$B$8:$AS$19,37,0)+VLOOKUP(B10,'CC -9'!$B$8:$AS$19,38,0))</f>
        <v>0</v>
      </c>
      <c r="I10" s="146">
        <f t="shared" ref="I10" si="2">ROUND(E10/$U$2*H10,0)</f>
        <v>0</v>
      </c>
      <c r="J10" s="147">
        <f t="shared" ref="J10" si="3">F10+H10</f>
        <v>25</v>
      </c>
      <c r="K10" s="148">
        <f>G10+I10</f>
        <v>2600000</v>
      </c>
      <c r="L10" s="144">
        <f>ROUND(F10,0)*20000</f>
        <v>500000</v>
      </c>
      <c r="M10" s="149">
        <f t="shared" ref="M10" si="4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5">M10-SUM(N10:P10)</f>
        <v>3100000</v>
      </c>
      <c r="R10" s="148">
        <f>VLOOKUP(B10,DS,23,0)</f>
        <v>0</v>
      </c>
      <c r="S10" s="150">
        <f t="shared" ref="S10" si="6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7">VLOOKUP(B11,DS,2,0)</f>
        <v>Mai Thị Hường</v>
      </c>
      <c r="D11" s="143" t="str">
        <f t="shared" ref="D11:D13" si="8">VLOOKUP(B11,DS,3,0)</f>
        <v>Kế Toán</v>
      </c>
      <c r="E11" s="144">
        <f>VLOOKUP(B11,DS,4,0)</f>
        <v>2500000</v>
      </c>
      <c r="F11" s="145">
        <f>VLOOKUP(B11,'CC -9'!$B$8:$AS$19,36,0)</f>
        <v>11.540469999999999</v>
      </c>
      <c r="G11" s="146">
        <f t="shared" ref="G11:G13" si="9">ROUND(E11/$U$2*F11,0)</f>
        <v>1154047</v>
      </c>
      <c r="H11" s="145">
        <f>(VLOOKUP(B11,'CC -9'!$B$8:$AS$19,37,0)+VLOOKUP(B11,'CC -9'!$B$8:$AS$19,38,0))</f>
        <v>0</v>
      </c>
      <c r="I11" s="146">
        <f t="shared" ref="I11:I13" si="10">ROUND(E11/$U$2*H11,0)</f>
        <v>0</v>
      </c>
      <c r="J11" s="147">
        <f t="shared" ref="J11:J13" si="11">F11+H11</f>
        <v>11.540469999999999</v>
      </c>
      <c r="K11" s="148">
        <f t="shared" ref="K11:K13" si="12">G11+I11</f>
        <v>1154047</v>
      </c>
      <c r="L11" s="144">
        <f>ROUND(F11,0)*20000</f>
        <v>240000</v>
      </c>
      <c r="M11" s="149">
        <f t="shared" ref="M11:M13" si="13">K11+L11</f>
        <v>1394047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4">M11-SUM(N11:P11)</f>
        <v>1394047</v>
      </c>
      <c r="R11" s="148">
        <f>VLOOKUP(B11,DS,23,0)</f>
        <v>0</v>
      </c>
      <c r="S11" s="150">
        <f t="shared" ref="S11:S13" si="15">Q11-R11</f>
        <v>1394047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7"/>
        <v>Đào Quảng Ninh</v>
      </c>
      <c r="D12" s="143" t="str">
        <f t="shared" si="8"/>
        <v>Giao Hàng</v>
      </c>
      <c r="E12" s="144">
        <f>VLOOKUP(B12,DS,4,0)</f>
        <v>2000000</v>
      </c>
      <c r="F12" s="145">
        <f>VLOOKUP(B12,'CC -9'!$B$8:$AS$19,36,0)</f>
        <v>25</v>
      </c>
      <c r="G12" s="146">
        <f t="shared" si="9"/>
        <v>2000000</v>
      </c>
      <c r="H12" s="145">
        <f>(VLOOKUP(B12,'CC -9'!$B$8:$AS$19,37,0)+VLOOKUP(B12,'CC -9'!$B$8:$AS$19,38,0))</f>
        <v>0</v>
      </c>
      <c r="I12" s="146">
        <f t="shared" si="10"/>
        <v>0</v>
      </c>
      <c r="J12" s="147">
        <f t="shared" si="11"/>
        <v>25</v>
      </c>
      <c r="K12" s="148">
        <f t="shared" si="12"/>
        <v>2000000</v>
      </c>
      <c r="L12" s="144">
        <f t="shared" ref="L12:L13" si="16">ROUND(F12,0)*20000</f>
        <v>500000</v>
      </c>
      <c r="M12" s="149">
        <f t="shared" si="13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4"/>
        <v>2500000</v>
      </c>
      <c r="R12" s="148">
        <f>VLOOKUP(B12,DS,23,0)</f>
        <v>0</v>
      </c>
      <c r="S12" s="150">
        <f t="shared" si="15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7"/>
        <v>Huỳnh Đoàn Viết Thanh</v>
      </c>
      <c r="D13" s="143" t="str">
        <f t="shared" si="8"/>
        <v>Tài xế</v>
      </c>
      <c r="E13" s="144">
        <f>VLOOKUP(B13,DS,4,0)</f>
        <v>2500000</v>
      </c>
      <c r="F13" s="145">
        <f>VLOOKUP(B13,'CC -9'!$B$8:$AS$19,36,0)</f>
        <v>25</v>
      </c>
      <c r="G13" s="146">
        <f t="shared" si="9"/>
        <v>2500000</v>
      </c>
      <c r="H13" s="145">
        <f>(VLOOKUP(B13,'CC -9'!$B$8:$AS$19,37,0)+VLOOKUP(B13,'CC -9'!$B$8:$AS$19,38,0))</f>
        <v>0</v>
      </c>
      <c r="I13" s="146">
        <f t="shared" si="10"/>
        <v>0</v>
      </c>
      <c r="J13" s="147">
        <f t="shared" si="11"/>
        <v>25</v>
      </c>
      <c r="K13" s="148">
        <f t="shared" si="12"/>
        <v>2500000</v>
      </c>
      <c r="L13" s="144">
        <f t="shared" si="16"/>
        <v>500000</v>
      </c>
      <c r="M13" s="149">
        <f t="shared" si="13"/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4"/>
        <v>3000000</v>
      </c>
      <c r="R13" s="148">
        <f>VLOOKUP(B13,DS,23,0)</f>
        <v>0</v>
      </c>
      <c r="S13" s="150">
        <f t="shared" si="15"/>
        <v>3000000</v>
      </c>
      <c r="T13" s="148"/>
      <c r="U13" s="197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/>
      <c r="V14" s="128">
        <f>E11/U2/8</f>
        <v>12500</v>
      </c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7">SUM(K9:K10)</f>
        <v>2600000</v>
      </c>
      <c r="L15" s="163">
        <f t="shared" si="17"/>
        <v>500000</v>
      </c>
      <c r="M15" s="163">
        <f t="shared" si="17"/>
        <v>3100000</v>
      </c>
      <c r="N15" s="163">
        <f t="shared" si="17"/>
        <v>0</v>
      </c>
      <c r="O15" s="163">
        <f t="shared" si="17"/>
        <v>0</v>
      </c>
      <c r="P15" s="163">
        <f t="shared" si="17"/>
        <v>0</v>
      </c>
      <c r="Q15" s="163">
        <f t="shared" si="17"/>
        <v>3100000</v>
      </c>
      <c r="R15" s="163">
        <f t="shared" si="17"/>
        <v>0</v>
      </c>
      <c r="S15" s="163">
        <f>SUM(S9:S14)</f>
        <v>9994047</v>
      </c>
      <c r="T15" s="164"/>
      <c r="U15" s="197">
        <v>9994047</v>
      </c>
      <c r="V15" s="165">
        <f>U15-S15</f>
        <v>0</v>
      </c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201">
        <f>(V15-20000)/V14</f>
        <v>-1.6</v>
      </c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18">VLOOKUP(B17,DS,2,0)</f>
        <v>Nguyễn Thị Thanh Thúy</v>
      </c>
      <c r="D17" s="143" t="str">
        <f t="shared" ref="D17" si="19">VLOOKUP(B17,DS,3,0)</f>
        <v>Công nhân</v>
      </c>
      <c r="E17" s="144">
        <f t="shared" ref="E17" si="20">VLOOKUP(B17,DS,4,0)</f>
        <v>2500000</v>
      </c>
      <c r="F17" s="145">
        <f>VLOOKUP(B17,'CC -9'!$B$8:$AS$19,36,0)</f>
        <v>25</v>
      </c>
      <c r="G17" s="146">
        <f t="shared" ref="G17" si="21">ROUND(E17/$U$2*F17,0)</f>
        <v>2500000</v>
      </c>
      <c r="H17" s="145">
        <f>(VLOOKUP(B17,'CC -9'!$B$8:$AS$19,37,0)+VLOOKUP(B17,'CC -9'!$B$8:$AS$19,38,0))</f>
        <v>0</v>
      </c>
      <c r="I17" s="146">
        <f t="shared" ref="I17" si="22">ROUND(E17/$U$2*H17,0)</f>
        <v>0</v>
      </c>
      <c r="J17" s="167">
        <f t="shared" ref="J17:K17" si="23">F17+H17</f>
        <v>25</v>
      </c>
      <c r="K17" s="148">
        <f t="shared" si="23"/>
        <v>2500000</v>
      </c>
      <c r="L17" s="144">
        <f t="shared" ref="L17" si="24">ROUND(F17*20000,0)</f>
        <v>500000</v>
      </c>
      <c r="M17" s="149">
        <f t="shared" ref="M17" si="25">K17+L17</f>
        <v>3000000</v>
      </c>
      <c r="N17" s="149">
        <f>IF(VLOOKUP(B17,DS,9,0)="x",'L - 9'!E17*$N$4,0)</f>
        <v>0</v>
      </c>
      <c r="O17" s="149">
        <f t="shared" ref="O17" si="26">IF(VLOOKUP(B17,DS,9,0)="x",E17*0.015,0)</f>
        <v>0</v>
      </c>
      <c r="P17" s="149">
        <f t="shared" ref="P17" si="27">IF(VLOOKUP(B17,DS,9,0)="x",E17*0.01,0)</f>
        <v>0</v>
      </c>
      <c r="Q17" s="148">
        <f t="shared" ref="Q17" si="28">M17-SUM(N17:P17)</f>
        <v>3000000</v>
      </c>
      <c r="R17" s="148">
        <f t="shared" ref="R17" si="29">VLOOKUP(B17,DS,23,0)</f>
        <v>0</v>
      </c>
      <c r="S17" s="150">
        <f t="shared" ref="S17" si="30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1">SUM(K16:K18)</f>
        <v>2500000</v>
      </c>
      <c r="L19" s="163">
        <f t="shared" si="31"/>
        <v>500000</v>
      </c>
      <c r="M19" s="163">
        <f t="shared" si="31"/>
        <v>3000000</v>
      </c>
      <c r="N19" s="163">
        <f t="shared" si="31"/>
        <v>0</v>
      </c>
      <c r="O19" s="163">
        <f t="shared" si="31"/>
        <v>0</v>
      </c>
      <c r="P19" s="163">
        <f t="shared" si="31"/>
        <v>0</v>
      </c>
      <c r="Q19" s="163">
        <f t="shared" si="31"/>
        <v>3000000</v>
      </c>
      <c r="R19" s="163">
        <f t="shared" si="31"/>
        <v>0</v>
      </c>
      <c r="S19" s="163">
        <f t="shared" si="31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42578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27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27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27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3">
        <f>((SUM(F15:AJ15))/8)-(SUMIF($F$6:$AJ$6,"C.Nhật",F15:AJ15)/8)</f>
        <v>27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27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3">
        <f t="shared" ref="AK18" si="2">((SUM(F18:AJ18))/8)-(SUMIF($F$6:$AJ$6,"C.Nhật",F18:AJ18)/8)</f>
        <v>27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27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20" priority="17" stopIfTrue="1">
      <formula>IF(WEEKDAY(F$5)=1,TRUE,FALSE)</formula>
    </cfRule>
  </conditionalFormatting>
  <conditionalFormatting sqref="F9:AJ14">
    <cfRule type="expression" dxfId="19" priority="16" stopIfTrue="1">
      <formula>IF(WEEKDAY(F$5)=1,TRUE,FALSE)</formula>
    </cfRule>
  </conditionalFormatting>
  <conditionalFormatting sqref="F18:AJ19">
    <cfRule type="expression" dxfId="18" priority="3" stopIfTrue="1">
      <formula>IF(WEEKDAY(F$5)=1,TRUE,FALSE)</formula>
    </cfRule>
  </conditionalFormatting>
  <conditionalFormatting sqref="F15:AJ16">
    <cfRule type="expression" dxfId="17" priority="2" stopIfTrue="1">
      <formula>IF(WEEKDAY(F$5)=1,TRUE,FALSE)</formula>
    </cfRule>
  </conditionalFormatting>
  <conditionalFormatting sqref="F15:AJ16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G15" sqref="G15"/>
    </sheetView>
  </sheetViews>
  <sheetFormatPr defaultRowHeight="11.25"/>
  <cols>
    <col min="1" max="1" width="4.28515625" style="183" customWidth="1"/>
    <col min="2" max="2" width="8.42578125" style="183" customWidth="1"/>
    <col min="3" max="3" width="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10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-10'!$B$8:$AS$19,36,0)</f>
        <v>27</v>
      </c>
      <c r="G10" s="146">
        <f t="shared" ref="G10" si="2">ROUND(E10/$U$2*F10,0)</f>
        <v>2600000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-10'!$B$8:$AS$19,36,0)</f>
        <v>27</v>
      </c>
      <c r="G11" s="146">
        <f t="shared" ref="G11:G13" si="11">ROUND(E11/$U$2*F11,0)</f>
        <v>2500000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2500000</v>
      </c>
      <c r="L11" s="144">
        <f t="shared" ref="L11:L13" si="15">ROUND(F11*20000,0)</f>
        <v>540000</v>
      </c>
      <c r="M11" s="149">
        <f t="shared" ref="M11:M13" si="16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3040000</v>
      </c>
      <c r="R11" s="148">
        <f>VLOOKUP(B11,DS,23,0)</f>
        <v>0</v>
      </c>
      <c r="S11" s="150">
        <f t="shared" ref="S11:S13" si="18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-10'!$B$8:$AS$19,36,0)</f>
        <v>27</v>
      </c>
      <c r="G12" s="146">
        <f t="shared" si="11"/>
        <v>2000000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15"/>
        <v>540000</v>
      </c>
      <c r="M12" s="149">
        <f t="shared" si="16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2540000</v>
      </c>
      <c r="R12" s="148">
        <f>VLOOKUP(B12,DS,23,0)</f>
        <v>0</v>
      </c>
      <c r="S12" s="150">
        <f t="shared" si="18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-10'!$B$8:$AS$19,36,0)</f>
        <v>27</v>
      </c>
      <c r="G13" s="146">
        <f t="shared" si="11"/>
        <v>2500000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2500000</v>
      </c>
      <c r="L13" s="144">
        <f t="shared" si="15"/>
        <v>540000</v>
      </c>
      <c r="M13" s="149">
        <f t="shared" si="16"/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3040000</v>
      </c>
      <c r="R13" s="148">
        <f>VLOOKUP(B13,DS,23,0)</f>
        <v>0</v>
      </c>
      <c r="S13" s="150">
        <f t="shared" si="18"/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540000</v>
      </c>
      <c r="M15" s="163">
        <f t="shared" si="19"/>
        <v>3140000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3140000</v>
      </c>
      <c r="R15" s="163">
        <f t="shared" si="19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D1" sqref="D1:D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5703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25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25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25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3">
        <f>((SUM(F15:AJ15))/8)-(SUMIF($F$6:$AJ$6,"C.Nhật",F15:AJ15)/8)</f>
        <v>25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25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3">
        <f t="shared" ref="AK18" si="2">((SUM(F18:AJ18))/8)-(SUMIF($F$6:$AJ$6,"C.Nhật",F18:AJ18)/8)</f>
        <v>25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25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 F18:AJ19">
    <cfRule type="expression" dxfId="15" priority="19" stopIfTrue="1">
      <formula>IF(WEEKDAY(F$5)=1,TRUE,FALSE)</formula>
    </cfRule>
  </conditionalFormatting>
  <conditionalFormatting sqref="F9:AJ10 F11:AI14">
    <cfRule type="expression" dxfId="14" priority="18" stopIfTrue="1">
      <formula>IF(WEEKDAY(F$5)=1,TRUE,FALSE)</formula>
    </cfRule>
  </conditionalFormatting>
  <conditionalFormatting sqref="AJ11:AJ12">
    <cfRule type="expression" dxfId="13" priority="9" stopIfTrue="1">
      <formula>IF(WEEKDAY(AJ$5)=1,TRUE,FALSE)</formula>
    </cfRule>
  </conditionalFormatting>
  <conditionalFormatting sqref="AJ11:AJ12">
    <cfRule type="expression" dxfId="12" priority="8" stopIfTrue="1">
      <formula>IF(WEEKDAY(AJ$5)=1,TRUE,FALSE)</formula>
    </cfRule>
  </conditionalFormatting>
  <conditionalFormatting sqref="AJ13:AJ14">
    <cfRule type="expression" dxfId="11" priority="7" stopIfTrue="1">
      <formula>IF(WEEKDAY(AJ$5)=1,TRUE,FALSE)</formula>
    </cfRule>
  </conditionalFormatting>
  <conditionalFormatting sqref="AJ13:AJ14">
    <cfRule type="expression" dxfId="10" priority="6" stopIfTrue="1">
      <formula>IF(WEEKDAY(AJ$5)=1,TRUE,FALSE)</formula>
    </cfRule>
  </conditionalFormatting>
  <conditionalFormatting sqref="F18:AI19">
    <cfRule type="expression" dxfId="9" priority="5" stopIfTrue="1">
      <formula>IF(WEEKDAY(F$5)=1,TRUE,FALSE)</formula>
    </cfRule>
  </conditionalFormatting>
  <conditionalFormatting sqref="F15:AI16">
    <cfRule type="expression" dxfId="8" priority="4" stopIfTrue="1">
      <formula>IF(WEEKDAY(F$5)=1,TRUE,FALSE)</formula>
    </cfRule>
  </conditionalFormatting>
  <conditionalFormatting sqref="F15:AI16">
    <cfRule type="expression" dxfId="7" priority="3" stopIfTrue="1">
      <formula>IF(WEEKDAY(F$5)=1,TRUE,FALSE)</formula>
    </cfRule>
  </conditionalFormatting>
  <conditionalFormatting sqref="AJ15:AJ16">
    <cfRule type="expression" dxfId="6" priority="2" stopIfTrue="1">
      <formula>IF(WEEKDAY(AJ$5)=1,TRUE,FALSE)</formula>
    </cfRule>
  </conditionalFormatting>
  <conditionalFormatting sqref="AJ15:AJ16">
    <cfRule type="expression" dxfId="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855468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7" t="str">
        <f>"BẢNG THANH TOÁN LƯƠNG THÁNG"&amp;" "&amp;TEXT($E$4,"mm")&amp;" / "&amp;TEXT($E$4,"yyyy")</f>
        <v>BẢNG THANH TOÁN LƯƠNG THÁNG 11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-11'!$B$8:$AS$19,36,0)</f>
        <v>25</v>
      </c>
      <c r="G10" s="146">
        <f t="shared" ref="G10" si="2">ROUND(E10/$U$2*F10,0)</f>
        <v>2600000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 t="shared" ref="L10:L12" si="5">ROUND(F10*20000,0)</f>
        <v>500000</v>
      </c>
      <c r="M10" s="149">
        <f t="shared" ref="M10" si="6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3100000</v>
      </c>
      <c r="R10" s="148">
        <f>VLOOKUP(B10,DS,23,0)</f>
        <v>0</v>
      </c>
      <c r="S10" s="150">
        <f t="shared" ref="S10" si="8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-11'!$B$8:$AS$19,36,0)</f>
        <v>25</v>
      </c>
      <c r="G11" s="146">
        <f t="shared" ref="G11:G12" si="11">ROUND(E11/$U$2*F11,0)</f>
        <v>2500000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2500000</v>
      </c>
      <c r="L11" s="144">
        <f t="shared" si="5"/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-11'!$B$8:$AS$19,36,0)</f>
        <v>25</v>
      </c>
      <c r="G12" s="146">
        <f t="shared" si="11"/>
        <v>2000000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2000000</v>
      </c>
      <c r="L12" s="144">
        <f t="shared" si="5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-11'!$B$8:$AS$19,36,0)</f>
        <v>25</v>
      </c>
      <c r="G13" s="146">
        <f t="shared" ref="G13" si="20">ROUND(E13/$U$2*F13,0)</f>
        <v>2500000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9">
        <f>SUM(AK9:AM10)</f>
        <v>27</v>
      </c>
      <c r="AO9" s="227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20"/>
      <c r="AO10" s="228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166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9">
        <f>SUM(AK11:AM12)</f>
        <v>27</v>
      </c>
      <c r="AO11" s="227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20"/>
      <c r="AO12" s="228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169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9">
        <f>SUM(AK13:AM14)</f>
        <v>27</v>
      </c>
      <c r="AO13" s="227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20"/>
      <c r="AO14" s="228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9">
        <v>4</v>
      </c>
      <c r="B15" s="229" t="s">
        <v>173</v>
      </c>
      <c r="C15" s="231" t="str">
        <f>VLOOKUP(B15,DS,2,0)</f>
        <v>Huỳnh Đoàn Viết Thanh</v>
      </c>
      <c r="D15" s="233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3">
        <f>((SUM(F15:AJ15))/8)-(SUMIF($F$6:$AJ$6,"C.Nhật",F15:AJ15)/8)</f>
        <v>27</v>
      </c>
      <c r="AL15" s="223">
        <f>SUM(F16:AJ16)/8*1.5</f>
        <v>0</v>
      </c>
      <c r="AM15" s="225">
        <f>SUMIF($F$6:$AJ$6,"C.Nhật",$F15:$AJ16)/8*2</f>
        <v>0</v>
      </c>
      <c r="AN15" s="219">
        <f>SUM(AK15:AM16)</f>
        <v>27</v>
      </c>
      <c r="AO15" s="227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30"/>
      <c r="B16" s="230"/>
      <c r="C16" s="232"/>
      <c r="D16" s="234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4"/>
      <c r="AL16" s="224"/>
      <c r="AM16" s="226"/>
      <c r="AN16" s="220"/>
      <c r="AO16" s="228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9">
        <v>1</v>
      </c>
      <c r="B18" s="229" t="s">
        <v>30</v>
      </c>
      <c r="C18" s="231" t="str">
        <f>VLOOKUP(B18,DS,2,0)</f>
        <v>Nguyễn Thị Thanh Thúy</v>
      </c>
      <c r="D18" s="233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3">
        <f t="shared" ref="AK18" si="2">((SUM(F18:AJ18))/8)-(SUMIF($F$6:$AJ$6,"C.Nhật",F18:AJ18)/8)</f>
        <v>27</v>
      </c>
      <c r="AL18" s="223">
        <f t="shared" ref="AL18" si="3">SUM(F19:AJ19)/8*1.5</f>
        <v>0</v>
      </c>
      <c r="AM18" s="225">
        <f>SUMIF($F$6:$AJ$6,"C.Nhật",$F18:$AJ19)/8*2</f>
        <v>0</v>
      </c>
      <c r="AN18" s="219">
        <f t="shared" ref="AN18" si="4">SUM(AK18:AM19)</f>
        <v>27</v>
      </c>
      <c r="AO18" s="227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30"/>
      <c r="B19" s="230"/>
      <c r="C19" s="232"/>
      <c r="D19" s="234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4"/>
      <c r="AL19" s="224"/>
      <c r="AM19" s="226"/>
      <c r="AN19" s="220"/>
      <c r="AO19" s="228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4" priority="17" stopIfTrue="1">
      <formula>IF(WEEKDAY(F$5)=1,TRUE,FALSE)</formula>
    </cfRule>
  </conditionalFormatting>
  <conditionalFormatting sqref="F9:AJ14">
    <cfRule type="expression" dxfId="3" priority="16" stopIfTrue="1">
      <formula>IF(WEEKDAY(F$5)=1,TRUE,FALSE)</formula>
    </cfRule>
  </conditionalFormatting>
  <conditionalFormatting sqref="F18:AJ19">
    <cfRule type="expression" dxfId="2" priority="3" stopIfTrue="1">
      <formula>IF(WEEKDAY(F$5)=1,TRUE,FALSE)</formula>
    </cfRule>
  </conditionalFormatting>
  <conditionalFormatting sqref="F15:AJ16">
    <cfRule type="expression" dxfId="1" priority="2" stopIfTrue="1">
      <formula>IF(WEEKDAY(F$5)=1,TRUE,FALSE)</formula>
    </cfRule>
  </conditionalFormatting>
  <conditionalFormatting sqref="F15:AJ16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U1" sqref="U1:U1048576"/>
    </sheetView>
  </sheetViews>
  <sheetFormatPr defaultRowHeight="11.25"/>
  <cols>
    <col min="1" max="1" width="4.28515625" style="183" customWidth="1"/>
    <col min="2" max="2" width="8.42578125" style="183" customWidth="1"/>
    <col min="3" max="3" width="26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7" t="str">
        <f>"BẢNG THANH TOÁN LƯƠNG THÁNG"&amp;" "&amp;TEXT($E$4,"mm")&amp;" / "&amp;TEXT($E$4,"yyyy")</f>
        <v>BẢNG THANH TOÁN LƯƠNG THÁNG 12 / 2015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117</v>
      </c>
      <c r="S1" s="250"/>
      <c r="T1" s="251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146</v>
      </c>
      <c r="C5" s="205" t="s">
        <v>5</v>
      </c>
      <c r="D5" s="205" t="s">
        <v>6</v>
      </c>
      <c r="E5" s="210" t="s">
        <v>7</v>
      </c>
      <c r="F5" s="255" t="s">
        <v>147</v>
      </c>
      <c r="G5" s="256"/>
      <c r="H5" s="256"/>
      <c r="I5" s="256"/>
      <c r="J5" s="256"/>
      <c r="K5" s="257"/>
      <c r="L5" s="254" t="s">
        <v>14</v>
      </c>
      <c r="M5" s="254" t="s">
        <v>148</v>
      </c>
      <c r="N5" s="205" t="s">
        <v>149</v>
      </c>
      <c r="O5" s="205"/>
      <c r="P5" s="205"/>
      <c r="Q5" s="254" t="s">
        <v>150</v>
      </c>
      <c r="R5" s="254" t="s">
        <v>151</v>
      </c>
      <c r="S5" s="254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205"/>
      <c r="D6" s="205"/>
      <c r="E6" s="210"/>
      <c r="F6" s="255" t="s">
        <v>154</v>
      </c>
      <c r="G6" s="257"/>
      <c r="H6" s="255" t="s">
        <v>155</v>
      </c>
      <c r="I6" s="256"/>
      <c r="J6" s="261" t="s">
        <v>156</v>
      </c>
      <c r="K6" s="254" t="s">
        <v>157</v>
      </c>
      <c r="L6" s="258"/>
      <c r="M6" s="258"/>
      <c r="N6" s="263" t="s">
        <v>158</v>
      </c>
      <c r="O6" s="254" t="s">
        <v>159</v>
      </c>
      <c r="P6" s="254" t="s">
        <v>160</v>
      </c>
      <c r="Q6" s="258"/>
      <c r="R6" s="258"/>
      <c r="S6" s="258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54"/>
      <c r="D7" s="254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-12'!$B$8:$AS$19,36,0)</f>
        <v>27</v>
      </c>
      <c r="G10" s="146">
        <f t="shared" ref="G10" si="2">ROUND(E10/$U$2*F10,0)</f>
        <v>2600000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-12'!$B$8:$AS$19,36,0)</f>
        <v>27</v>
      </c>
      <c r="G11" s="146">
        <f t="shared" ref="G11:G12" si="11">ROUND(E11/$U$2*F11,0)</f>
        <v>2500000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-12'!$B$8:$AS$19,36,0)</f>
        <v>27</v>
      </c>
      <c r="G12" s="146">
        <f t="shared" si="11"/>
        <v>2000000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-12'!$B$8:$AS$19,36,0)</f>
        <v>27</v>
      </c>
      <c r="G13" s="146">
        <f t="shared" ref="G13" si="20">ROUND(E13/$U$2*F13,0)</f>
        <v>2500000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60" t="s">
        <v>33</v>
      </c>
      <c r="B15" s="260"/>
      <c r="C15" s="260"/>
      <c r="D15" s="260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60" t="s">
        <v>33</v>
      </c>
      <c r="B19" s="260"/>
      <c r="C19" s="260"/>
      <c r="D19" s="260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2017-02-14T00:39:32Z</cp:lastPrinted>
  <dcterms:created xsi:type="dcterms:W3CDTF">2016-08-06T05:07:50Z</dcterms:created>
  <dcterms:modified xsi:type="dcterms:W3CDTF">2017-04-01T10:04:14Z</dcterms:modified>
</cp:coreProperties>
</file>