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KDP---KNA\3702076037\2016\"/>
    </mc:Choice>
  </mc:AlternateContent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- 1'!$A$7:$AC$9</definedName>
    <definedName name="_xlnm._FilterDatabase" localSheetId="20" hidden="1">'L - 10'!$A$7:$AC$10</definedName>
    <definedName name="_xlnm._FilterDatabase" localSheetId="22" hidden="1">'L - 11'!$A$7:$AC$10</definedName>
    <definedName name="_xlnm._FilterDatabase" localSheetId="24" hidden="1">'L - 12'!$A$7:$AC$10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8" hidden="1">'L - 4'!$A$7:$AC$10</definedName>
    <definedName name="_xlnm._FilterDatabase" localSheetId="10" hidden="1">'L - 5'!$A$7:$AC$10</definedName>
    <definedName name="_xlnm._FilterDatabase" localSheetId="12" hidden="1">'L - 6'!$A$7:$AC$10</definedName>
    <definedName name="_xlnm._FilterDatabase" localSheetId="14" hidden="1">'L - 7'!$A$7:$AC$10</definedName>
    <definedName name="_xlnm._FilterDatabase" localSheetId="16" hidden="1">'L - 8'!$A$7:$AC$10</definedName>
    <definedName name="_xlnm._FilterDatabase" localSheetId="18" hidden="1">'L - 9'!$A$7:$AC$10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TH!$B$10:$AJ$18</definedName>
    <definedName name="DS_01">'L - 1'!$B$9:$R$18</definedName>
    <definedName name="DS_02">'L - 2'!$B$9:$R$18</definedName>
    <definedName name="DS_03">'L - 3'!$B$9:$R$18</definedName>
    <definedName name="DS_04">'L - 4'!$B$9:$R$18</definedName>
    <definedName name="DS_05">'L - 5'!$B$9:$R$18</definedName>
    <definedName name="DS_06">'L - 6'!$B$9:$R$18</definedName>
    <definedName name="DS_07">'L - 7'!$B$9:$R$18</definedName>
    <definedName name="DS_08">'L - 8'!$B$9:$R$18</definedName>
    <definedName name="DS_09">'L - 9'!$B$9:$R$18</definedName>
    <definedName name="DS_10">'L - 10'!$B$9:$R$18</definedName>
    <definedName name="DS_11">'L - 11'!$B$9:$R$18</definedName>
    <definedName name="DS_12">'L - 12'!$B$9:$R$18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-1'!$A$1:$AS$39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-2'!$A$1:$AQ$39</definedName>
    <definedName name="_xlnm.Print_Area" localSheetId="5">'CC -3'!$A$1:$AS$39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AG15" i="15" l="1"/>
  <c r="AE15" i="15"/>
  <c r="AC15" i="15"/>
  <c r="AA15" i="15"/>
  <c r="Y15" i="15"/>
  <c r="W15" i="15"/>
  <c r="U15" i="15"/>
  <c r="S15" i="15"/>
  <c r="Q15" i="15"/>
  <c r="O15" i="15"/>
  <c r="M15" i="15"/>
  <c r="K15" i="15"/>
  <c r="AG14" i="15"/>
  <c r="AE14" i="15"/>
  <c r="AC14" i="15"/>
  <c r="AA14" i="15"/>
  <c r="Y14" i="15"/>
  <c r="W14" i="15"/>
  <c r="U14" i="15"/>
  <c r="S14" i="15"/>
  <c r="Q14" i="15"/>
  <c r="O14" i="15"/>
  <c r="M14" i="15"/>
  <c r="K14" i="15"/>
  <c r="C11" i="46"/>
  <c r="D11" i="46"/>
  <c r="E11" i="46"/>
  <c r="N11" i="46" s="1"/>
  <c r="F11" i="46"/>
  <c r="H11" i="46"/>
  <c r="C12" i="46"/>
  <c r="D12" i="46"/>
  <c r="E12" i="46"/>
  <c r="N12" i="46" s="1"/>
  <c r="F12" i="46"/>
  <c r="H12" i="46"/>
  <c r="AL11" i="45"/>
  <c r="D11" i="45"/>
  <c r="C11" i="45"/>
  <c r="AL13" i="45"/>
  <c r="D13" i="45"/>
  <c r="C13" i="45"/>
  <c r="C11" i="44"/>
  <c r="D11" i="44"/>
  <c r="E11" i="44"/>
  <c r="N11" i="44" s="1"/>
  <c r="F11" i="44"/>
  <c r="H11" i="44"/>
  <c r="C12" i="44"/>
  <c r="D12" i="44"/>
  <c r="E12" i="44"/>
  <c r="N12" i="44" s="1"/>
  <c r="F12" i="44"/>
  <c r="H12" i="44"/>
  <c r="AL11" i="43"/>
  <c r="D11" i="43"/>
  <c r="C11" i="43"/>
  <c r="AL13" i="43"/>
  <c r="D13" i="43"/>
  <c r="C13" i="43"/>
  <c r="C11" i="42"/>
  <c r="D11" i="42"/>
  <c r="E11" i="42"/>
  <c r="L11" i="42" s="1"/>
  <c r="F11" i="42"/>
  <c r="H11" i="42"/>
  <c r="C12" i="42"/>
  <c r="D12" i="42"/>
  <c r="E12" i="42"/>
  <c r="L12" i="42" s="1"/>
  <c r="F12" i="42"/>
  <c r="H12" i="42"/>
  <c r="AL11" i="41"/>
  <c r="D11" i="41"/>
  <c r="C11" i="41"/>
  <c r="AL13" i="41"/>
  <c r="D13" i="41"/>
  <c r="C13" i="41"/>
  <c r="C11" i="40"/>
  <c r="D11" i="40"/>
  <c r="E11" i="40"/>
  <c r="L11" i="40" s="1"/>
  <c r="F11" i="40"/>
  <c r="H11" i="40"/>
  <c r="C12" i="40"/>
  <c r="D12" i="40"/>
  <c r="E12" i="40"/>
  <c r="L12" i="40" s="1"/>
  <c r="F12" i="40"/>
  <c r="H12" i="40"/>
  <c r="AL11" i="39"/>
  <c r="D11" i="39"/>
  <c r="C11" i="39"/>
  <c r="AL13" i="39"/>
  <c r="D13" i="39"/>
  <c r="C13" i="39"/>
  <c r="C11" i="38"/>
  <c r="D11" i="38"/>
  <c r="E11" i="38"/>
  <c r="N11" i="38" s="1"/>
  <c r="F11" i="38"/>
  <c r="H11" i="38"/>
  <c r="C12" i="38"/>
  <c r="D12" i="38"/>
  <c r="E12" i="38"/>
  <c r="N12" i="38" s="1"/>
  <c r="F12" i="38"/>
  <c r="H12" i="38"/>
  <c r="AL11" i="37"/>
  <c r="D11" i="37"/>
  <c r="C11" i="37"/>
  <c r="AL13" i="37"/>
  <c r="D13" i="37"/>
  <c r="C13" i="37"/>
  <c r="C11" i="36"/>
  <c r="D11" i="36"/>
  <c r="E11" i="36"/>
  <c r="N11" i="36" s="1"/>
  <c r="F11" i="36"/>
  <c r="H11" i="36"/>
  <c r="C12" i="36"/>
  <c r="D12" i="36"/>
  <c r="E12" i="36"/>
  <c r="N12" i="36" s="1"/>
  <c r="F12" i="36"/>
  <c r="H12" i="36"/>
  <c r="AL11" i="35"/>
  <c r="D11" i="35"/>
  <c r="C11" i="35"/>
  <c r="AL13" i="35"/>
  <c r="D13" i="35"/>
  <c r="C13" i="35"/>
  <c r="C11" i="34"/>
  <c r="D11" i="34"/>
  <c r="E11" i="34"/>
  <c r="L11" i="34" s="1"/>
  <c r="F11" i="34"/>
  <c r="H11" i="34"/>
  <c r="C12" i="34"/>
  <c r="D12" i="34"/>
  <c r="E12" i="34"/>
  <c r="L12" i="34" s="1"/>
  <c r="F12" i="34"/>
  <c r="H12" i="34"/>
  <c r="AL11" i="33"/>
  <c r="D11" i="33"/>
  <c r="C11" i="33"/>
  <c r="AL13" i="33"/>
  <c r="D13" i="33"/>
  <c r="C13" i="33"/>
  <c r="C11" i="16"/>
  <c r="D11" i="16"/>
  <c r="E11" i="16"/>
  <c r="N11" i="16" s="1"/>
  <c r="F11" i="16"/>
  <c r="H11" i="16"/>
  <c r="C12" i="16"/>
  <c r="D12" i="16"/>
  <c r="E12" i="16"/>
  <c r="N12" i="16" s="1"/>
  <c r="F12" i="16"/>
  <c r="H12" i="16"/>
  <c r="AL11" i="14"/>
  <c r="D11" i="14"/>
  <c r="C11" i="14"/>
  <c r="AL13" i="14"/>
  <c r="D13" i="14"/>
  <c r="C13" i="14"/>
  <c r="C11" i="54"/>
  <c r="D11" i="54"/>
  <c r="E11" i="54"/>
  <c r="F11" i="54"/>
  <c r="H11" i="54"/>
  <c r="L11" i="54"/>
  <c r="M11" i="54"/>
  <c r="N11" i="54"/>
  <c r="C12" i="54"/>
  <c r="D12" i="54"/>
  <c r="E12" i="54"/>
  <c r="F12" i="54"/>
  <c r="H12" i="54"/>
  <c r="L12" i="54"/>
  <c r="M12" i="54"/>
  <c r="N12" i="54"/>
  <c r="AK11" i="53"/>
  <c r="D11" i="53"/>
  <c r="C11" i="53"/>
  <c r="AK13" i="53"/>
  <c r="D13" i="53"/>
  <c r="C13" i="53"/>
  <c r="N11" i="52"/>
  <c r="M11" i="52"/>
  <c r="L11" i="52"/>
  <c r="H11" i="52"/>
  <c r="F11" i="52"/>
  <c r="E11" i="52"/>
  <c r="D11" i="52"/>
  <c r="C11" i="52"/>
  <c r="AL11" i="51"/>
  <c r="D11" i="51"/>
  <c r="C11" i="51"/>
  <c r="N11" i="50"/>
  <c r="M11" i="50"/>
  <c r="L11" i="50"/>
  <c r="H11" i="50"/>
  <c r="F11" i="50"/>
  <c r="E11" i="50"/>
  <c r="D11" i="50"/>
  <c r="C11" i="50"/>
  <c r="AJ11" i="49"/>
  <c r="D11" i="49"/>
  <c r="C11" i="49"/>
  <c r="AM11" i="47"/>
  <c r="AL11" i="47"/>
  <c r="AK11" i="47"/>
  <c r="AN11" i="47" s="1"/>
  <c r="D11" i="47"/>
  <c r="C11" i="47"/>
  <c r="C12" i="48"/>
  <c r="D12" i="48"/>
  <c r="E12" i="48"/>
  <c r="L12" i="48"/>
  <c r="M12" i="48"/>
  <c r="N12" i="48"/>
  <c r="M11" i="46" l="1"/>
  <c r="L11" i="46"/>
  <c r="M12" i="46"/>
  <c r="L12" i="46"/>
  <c r="J12" i="46"/>
  <c r="J11" i="46"/>
  <c r="M11" i="44"/>
  <c r="M12" i="44"/>
  <c r="L11" i="44"/>
  <c r="L12" i="44"/>
  <c r="J12" i="44"/>
  <c r="J11" i="44"/>
  <c r="J11" i="42"/>
  <c r="J12" i="42"/>
  <c r="N12" i="42"/>
  <c r="N11" i="42"/>
  <c r="M12" i="42"/>
  <c r="M11" i="42"/>
  <c r="J12" i="40"/>
  <c r="M11" i="38"/>
  <c r="J11" i="40"/>
  <c r="N12" i="40"/>
  <c r="N11" i="40"/>
  <c r="M12" i="40"/>
  <c r="M11" i="40"/>
  <c r="M12" i="38"/>
  <c r="L11" i="38"/>
  <c r="L12" i="38"/>
  <c r="J12" i="38"/>
  <c r="J11" i="38"/>
  <c r="M11" i="36"/>
  <c r="M12" i="36"/>
  <c r="L11" i="36"/>
  <c r="L12" i="36"/>
  <c r="J12" i="36"/>
  <c r="J11" i="36"/>
  <c r="M11" i="16"/>
  <c r="J12" i="34"/>
  <c r="J11" i="34"/>
  <c r="N12" i="34"/>
  <c r="N11" i="34"/>
  <c r="M12" i="34"/>
  <c r="M11" i="34"/>
  <c r="M12" i="16"/>
  <c r="L11" i="16"/>
  <c r="L12" i="16"/>
  <c r="J12" i="16"/>
  <c r="J11" i="16"/>
  <c r="J11" i="52"/>
  <c r="J12" i="54"/>
  <c r="J11" i="54"/>
  <c r="J11" i="50"/>
  <c r="A11" i="15" l="1"/>
  <c r="A12" i="15"/>
  <c r="A13" i="15"/>
  <c r="A10" i="15"/>
  <c r="N16" i="48"/>
  <c r="M16" i="48"/>
  <c r="L16" i="48"/>
  <c r="L11" i="48"/>
  <c r="M11" i="48"/>
  <c r="N11" i="48"/>
  <c r="M10" i="48"/>
  <c r="N10" i="48"/>
  <c r="L10" i="48"/>
  <c r="N16" i="50"/>
  <c r="M16" i="50"/>
  <c r="L16" i="50"/>
  <c r="L12" i="50"/>
  <c r="M12" i="50"/>
  <c r="N12" i="50"/>
  <c r="M10" i="50"/>
  <c r="N10" i="50"/>
  <c r="L10" i="50"/>
  <c r="N16" i="52"/>
  <c r="M16" i="52"/>
  <c r="L16" i="52"/>
  <c r="L12" i="52"/>
  <c r="M12" i="52"/>
  <c r="N12" i="52"/>
  <c r="M10" i="52"/>
  <c r="N10" i="52"/>
  <c r="L10" i="52"/>
  <c r="N16" i="54"/>
  <c r="M16" i="54"/>
  <c r="L16" i="54"/>
  <c r="M10" i="54"/>
  <c r="N10" i="54"/>
  <c r="L10" i="54"/>
  <c r="AF17" i="15" a="1"/>
  <c r="AF17" i="15" s="1"/>
  <c r="AD17" i="15" a="1"/>
  <c r="AD17" i="15" s="1"/>
  <c r="AB17" i="15" a="1"/>
  <c r="AB17" i="15" s="1"/>
  <c r="Z17" i="15" a="1"/>
  <c r="Z17" i="15" s="1"/>
  <c r="X17" i="15" a="1"/>
  <c r="X17" i="15" s="1"/>
  <c r="V17" i="15" a="1"/>
  <c r="V17" i="15" s="1"/>
  <c r="T17" i="15" a="1"/>
  <c r="T17" i="15" s="1"/>
  <c r="R17" i="15" a="1"/>
  <c r="R17" i="15" s="1"/>
  <c r="P17" i="15" a="1"/>
  <c r="P17" i="15" s="1"/>
  <c r="N17" i="15" a="1"/>
  <c r="N17" i="15" s="1"/>
  <c r="L17" i="15" a="1"/>
  <c r="L17" i="15"/>
  <c r="K16" i="15"/>
  <c r="AG16" i="15"/>
  <c r="M16" i="15"/>
  <c r="O16" i="15"/>
  <c r="Q16" i="15"/>
  <c r="S16" i="15"/>
  <c r="U16" i="15"/>
  <c r="W16" i="15"/>
  <c r="Y16" i="15"/>
  <c r="AA16" i="15"/>
  <c r="AC16" i="15"/>
  <c r="AE16" i="15"/>
  <c r="AH16" i="15" l="1"/>
  <c r="AH15" i="15"/>
  <c r="AH14" i="15"/>
  <c r="C12" i="52" l="1"/>
  <c r="D12" i="52"/>
  <c r="E12" i="52"/>
  <c r="AL13" i="51"/>
  <c r="D13" i="51"/>
  <c r="C13" i="51"/>
  <c r="C12" i="50"/>
  <c r="D12" i="50"/>
  <c r="E12" i="50"/>
  <c r="AJ13" i="49"/>
  <c r="D13" i="49"/>
  <c r="C13" i="49"/>
  <c r="E16" i="48"/>
  <c r="D16" i="48"/>
  <c r="C16" i="48"/>
  <c r="AL13" i="47"/>
  <c r="D13" i="47"/>
  <c r="C13" i="47"/>
  <c r="C11" i="48"/>
  <c r="D11" i="48"/>
  <c r="E11" i="48"/>
  <c r="A14" i="15"/>
  <c r="AL16" i="45" l="1"/>
  <c r="D16" i="45"/>
  <c r="C16" i="45"/>
  <c r="AL16" i="43"/>
  <c r="D16" i="43"/>
  <c r="C16" i="43"/>
  <c r="AL16" i="41"/>
  <c r="D16" i="41"/>
  <c r="C16" i="41"/>
  <c r="AL16" i="39"/>
  <c r="D16" i="39"/>
  <c r="C16" i="39"/>
  <c r="AL16" i="37"/>
  <c r="D16" i="37"/>
  <c r="C16" i="37"/>
  <c r="AL16" i="35"/>
  <c r="D16" i="35"/>
  <c r="C16" i="35"/>
  <c r="AL16" i="33"/>
  <c r="D16" i="33"/>
  <c r="C16" i="33"/>
  <c r="AL16" i="14"/>
  <c r="D16" i="14"/>
  <c r="C16" i="14"/>
  <c r="AK16" i="53"/>
  <c r="D16" i="53"/>
  <c r="C16" i="53"/>
  <c r="AL16" i="51"/>
  <c r="D16" i="51"/>
  <c r="C16" i="51"/>
  <c r="M18" i="54"/>
  <c r="E16" i="54"/>
  <c r="D16" i="54"/>
  <c r="C16" i="54"/>
  <c r="E10" i="54"/>
  <c r="D10" i="54"/>
  <c r="C10" i="54"/>
  <c r="E4" i="54"/>
  <c r="Q20" i="54" s="1"/>
  <c r="AK9" i="53"/>
  <c r="D9" i="53"/>
  <c r="C9" i="53"/>
  <c r="F5" i="53"/>
  <c r="F6" i="53" s="1"/>
  <c r="S1" i="53"/>
  <c r="P18" i="52"/>
  <c r="N18" i="52"/>
  <c r="E16" i="52"/>
  <c r="E18" i="52" s="1"/>
  <c r="D16" i="52"/>
  <c r="C16" i="52"/>
  <c r="E10" i="52"/>
  <c r="D10" i="52"/>
  <c r="C10" i="52"/>
  <c r="E4" i="52"/>
  <c r="Q20" i="52" s="1"/>
  <c r="AL9" i="51"/>
  <c r="D9" i="51"/>
  <c r="C9" i="51"/>
  <c r="F5" i="51"/>
  <c r="F6" i="51" s="1"/>
  <c r="S1" i="51"/>
  <c r="E16" i="50"/>
  <c r="D16" i="50"/>
  <c r="C16" i="50"/>
  <c r="E10" i="50"/>
  <c r="D10" i="50"/>
  <c r="C10" i="50"/>
  <c r="E4" i="50"/>
  <c r="Q20" i="50" s="1"/>
  <c r="AJ16" i="49"/>
  <c r="D16" i="49"/>
  <c r="C16" i="49"/>
  <c r="AJ9" i="49"/>
  <c r="D9" i="49"/>
  <c r="C9" i="49"/>
  <c r="F5" i="49"/>
  <c r="F6" i="49" s="1"/>
  <c r="S1" i="49"/>
  <c r="N14" i="48"/>
  <c r="M14" i="48"/>
  <c r="E10" i="48"/>
  <c r="E14" i="48" s="1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L14" i="48" l="1"/>
  <c r="E18" i="48"/>
  <c r="E18" i="50"/>
  <c r="P18" i="50"/>
  <c r="E18" i="54"/>
  <c r="P18" i="54"/>
  <c r="L18" i="54"/>
  <c r="D1" i="50"/>
  <c r="L14" i="50"/>
  <c r="N14" i="54"/>
  <c r="L14" i="52"/>
  <c r="M14" i="54"/>
  <c r="L14" i="54"/>
  <c r="N18" i="54"/>
  <c r="D1" i="52"/>
  <c r="D1" i="48"/>
  <c r="D1" i="54"/>
  <c r="M14" i="52"/>
  <c r="L18" i="52"/>
  <c r="G5" i="53"/>
  <c r="E14" i="54"/>
  <c r="N18" i="50"/>
  <c r="N14" i="52"/>
  <c r="M18" i="52"/>
  <c r="M14" i="50"/>
  <c r="L18" i="50"/>
  <c r="G5" i="51"/>
  <c r="E14" i="52"/>
  <c r="N18" i="48"/>
  <c r="N14" i="50"/>
  <c r="M18" i="50"/>
  <c r="L18" i="48"/>
  <c r="G5" i="49"/>
  <c r="E14" i="50"/>
  <c r="M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E16" i="46"/>
  <c r="D16" i="46"/>
  <c r="C16" i="46"/>
  <c r="E10" i="46"/>
  <c r="D10" i="46"/>
  <c r="C10" i="46"/>
  <c r="E4" i="46"/>
  <c r="Q20" i="46" s="1"/>
  <c r="AL9" i="45"/>
  <c r="D9" i="45"/>
  <c r="C9" i="45"/>
  <c r="F5" i="45"/>
  <c r="G5" i="45" s="1"/>
  <c r="S1" i="45"/>
  <c r="E16" i="44"/>
  <c r="D16" i="44"/>
  <c r="C16" i="44"/>
  <c r="E10" i="44"/>
  <c r="D10" i="44"/>
  <c r="C10" i="44"/>
  <c r="E4" i="44"/>
  <c r="Q20" i="44" s="1"/>
  <c r="AL9" i="43"/>
  <c r="D9" i="43"/>
  <c r="C9" i="43"/>
  <c r="F5" i="43"/>
  <c r="G5" i="43" s="1"/>
  <c r="S1" i="43"/>
  <c r="E16" i="42"/>
  <c r="D16" i="42"/>
  <c r="C16" i="42"/>
  <c r="E10" i="42"/>
  <c r="D10" i="42"/>
  <c r="C10" i="42"/>
  <c r="E4" i="42"/>
  <c r="Q20" i="42" s="1"/>
  <c r="AL9" i="41"/>
  <c r="D9" i="41"/>
  <c r="C9" i="41"/>
  <c r="F5" i="41"/>
  <c r="G5" i="41" s="1"/>
  <c r="S1" i="41"/>
  <c r="N10" i="46" l="1"/>
  <c r="N14" i="46" s="1"/>
  <c r="L10" i="46"/>
  <c r="L14" i="46" s="1"/>
  <c r="M10" i="46"/>
  <c r="N16" i="46"/>
  <c r="N18" i="46" s="1"/>
  <c r="M16" i="46"/>
  <c r="M18" i="46" s="1"/>
  <c r="L16" i="46"/>
  <c r="L18" i="46" s="1"/>
  <c r="M10" i="44"/>
  <c r="M14" i="44" s="1"/>
  <c r="N10" i="44"/>
  <c r="N14" i="44" s="1"/>
  <c r="L10" i="44"/>
  <c r="L14" i="44" s="1"/>
  <c r="L16" i="44"/>
  <c r="L18" i="44" s="1"/>
  <c r="N16" i="44"/>
  <c r="N18" i="44" s="1"/>
  <c r="M16" i="44"/>
  <c r="M18" i="44" s="1"/>
  <c r="N10" i="42"/>
  <c r="N14" i="42" s="1"/>
  <c r="L10" i="42"/>
  <c r="L14" i="42" s="1"/>
  <c r="M10" i="42"/>
  <c r="M14" i="42" s="1"/>
  <c r="N16" i="42"/>
  <c r="N18" i="42" s="1"/>
  <c r="M16" i="42"/>
  <c r="M18" i="42" s="1"/>
  <c r="L16" i="42"/>
  <c r="L18" i="42" s="1"/>
  <c r="M14" i="46"/>
  <c r="E14" i="46"/>
  <c r="J5" i="53"/>
  <c r="I6" i="53"/>
  <c r="J5" i="51"/>
  <c r="I6" i="51"/>
  <c r="E14" i="44"/>
  <c r="J5" i="49"/>
  <c r="I6" i="49"/>
  <c r="I6" i="47"/>
  <c r="J5" i="47"/>
  <c r="F6" i="43"/>
  <c r="E18" i="42"/>
  <c r="P18" i="42"/>
  <c r="E18" i="44"/>
  <c r="P18" i="44"/>
  <c r="F6" i="45"/>
  <c r="F6" i="41"/>
  <c r="E18" i="46"/>
  <c r="D1" i="42"/>
  <c r="D1" i="44"/>
  <c r="P18" i="46"/>
  <c r="D1" i="46"/>
  <c r="G6" i="45"/>
  <c r="H5" i="45"/>
  <c r="G6" i="43"/>
  <c r="H5" i="43"/>
  <c r="G6" i="41"/>
  <c r="H5" i="41"/>
  <c r="E14" i="42"/>
  <c r="E16" i="40"/>
  <c r="D16" i="40"/>
  <c r="C16" i="40"/>
  <c r="E10" i="40"/>
  <c r="D10" i="40"/>
  <c r="C10" i="40"/>
  <c r="E4" i="40"/>
  <c r="Q20" i="40" s="1"/>
  <c r="AL9" i="39"/>
  <c r="D9" i="39"/>
  <c r="C9" i="39"/>
  <c r="F5" i="39"/>
  <c r="G5" i="39" s="1"/>
  <c r="S1" i="39"/>
  <c r="E16" i="38"/>
  <c r="D16" i="38"/>
  <c r="C16" i="38"/>
  <c r="E10" i="38"/>
  <c r="D10" i="38"/>
  <c r="C10" i="38"/>
  <c r="E4" i="38"/>
  <c r="Q20" i="38" s="1"/>
  <c r="AL9" i="37"/>
  <c r="D9" i="37"/>
  <c r="C9" i="37"/>
  <c r="F5" i="37"/>
  <c r="F6" i="37" s="1"/>
  <c r="S1" i="37"/>
  <c r="E16" i="36"/>
  <c r="D16" i="36"/>
  <c r="C16" i="36"/>
  <c r="E10" i="36"/>
  <c r="D10" i="36"/>
  <c r="C10" i="36"/>
  <c r="E4" i="36"/>
  <c r="Q20" i="36" s="1"/>
  <c r="AL9" i="35"/>
  <c r="D9" i="35"/>
  <c r="C9" i="35"/>
  <c r="F5" i="35"/>
  <c r="F6" i="35" s="1"/>
  <c r="S1" i="35"/>
  <c r="M10" i="40" l="1"/>
  <c r="M14" i="40" s="1"/>
  <c r="N10" i="40"/>
  <c r="N14" i="40" s="1"/>
  <c r="L10" i="40"/>
  <c r="L16" i="40"/>
  <c r="L18" i="40" s="1"/>
  <c r="N16" i="40"/>
  <c r="N18" i="40" s="1"/>
  <c r="M16" i="40"/>
  <c r="M18" i="40" s="1"/>
  <c r="L10" i="38"/>
  <c r="L14" i="38" s="1"/>
  <c r="M10" i="38"/>
  <c r="M14" i="38" s="1"/>
  <c r="N10" i="38"/>
  <c r="N14" i="38" s="1"/>
  <c r="M16" i="38"/>
  <c r="M18" i="38" s="1"/>
  <c r="L16" i="38"/>
  <c r="L18" i="38" s="1"/>
  <c r="N16" i="38"/>
  <c r="N18" i="38" s="1"/>
  <c r="L10" i="36"/>
  <c r="L14" i="36" s="1"/>
  <c r="M10" i="36"/>
  <c r="M14" i="36" s="1"/>
  <c r="N10" i="36"/>
  <c r="N14" i="36" s="1"/>
  <c r="M16" i="36"/>
  <c r="M18" i="36" s="1"/>
  <c r="L16" i="36"/>
  <c r="L18" i="36" s="1"/>
  <c r="N16" i="36"/>
  <c r="N18" i="36" s="1"/>
  <c r="L14" i="40"/>
  <c r="D1" i="36"/>
  <c r="J6" i="53"/>
  <c r="K5" i="53"/>
  <c r="J6" i="51"/>
  <c r="K5" i="51"/>
  <c r="J6" i="49"/>
  <c r="K5" i="49"/>
  <c r="J6" i="47"/>
  <c r="K5" i="47"/>
  <c r="D1" i="38"/>
  <c r="I5" i="45"/>
  <c r="H6" i="45"/>
  <c r="I5" i="43"/>
  <c r="H6" i="43"/>
  <c r="E18" i="40"/>
  <c r="P18" i="40"/>
  <c r="I5" i="41"/>
  <c r="H6" i="41"/>
  <c r="E18" i="38"/>
  <c r="P18" i="38"/>
  <c r="F6" i="39"/>
  <c r="D1" i="40"/>
  <c r="G6" i="39"/>
  <c r="H5" i="39"/>
  <c r="E14" i="40"/>
  <c r="E18" i="36"/>
  <c r="P18" i="36"/>
  <c r="G5" i="37"/>
  <c r="E14" i="38"/>
  <c r="G5" i="35"/>
  <c r="E14" i="36"/>
  <c r="C16" i="16"/>
  <c r="D16" i="16"/>
  <c r="E16" i="16"/>
  <c r="C10" i="16"/>
  <c r="D10" i="16"/>
  <c r="E10" i="16"/>
  <c r="N16" i="16" l="1"/>
  <c r="N18" i="16" s="1"/>
  <c r="M16" i="16"/>
  <c r="M18" i="16" s="1"/>
  <c r="L16" i="16"/>
  <c r="L18" i="16" s="1"/>
  <c r="L10" i="16"/>
  <c r="L14" i="16" s="1"/>
  <c r="M10" i="16"/>
  <c r="M14" i="16" s="1"/>
  <c r="N10" i="16"/>
  <c r="N14" i="16" s="1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E18" i="16"/>
  <c r="P18" i="16"/>
  <c r="G6" i="35"/>
  <c r="H5" i="35"/>
  <c r="A15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E16" i="34"/>
  <c r="D16" i="34"/>
  <c r="C16" i="34"/>
  <c r="E10" i="34"/>
  <c r="D10" i="34"/>
  <c r="C10" i="34"/>
  <c r="E4" i="34"/>
  <c r="Q20" i="34" s="1"/>
  <c r="AL9" i="33"/>
  <c r="D9" i="33"/>
  <c r="C9" i="33"/>
  <c r="F5" i="33"/>
  <c r="G5" i="33" s="1"/>
  <c r="S1" i="33"/>
  <c r="E14" i="34" l="1"/>
  <c r="M10" i="34"/>
  <c r="M14" i="34" s="1"/>
  <c r="N10" i="34"/>
  <c r="N14" i="34" s="1"/>
  <c r="L10" i="34"/>
  <c r="L14" i="34" s="1"/>
  <c r="L16" i="34"/>
  <c r="L18" i="34" s="1"/>
  <c r="N16" i="34"/>
  <c r="N18" i="34" s="1"/>
  <c r="M16" i="34"/>
  <c r="M18" i="34" s="1"/>
  <c r="N5" i="53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8" i="34"/>
  <c r="P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6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7" i="15" a="1"/>
  <c r="J17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6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K11" i="49" l="1"/>
  <c r="AI11" i="49"/>
  <c r="AI13" i="49"/>
  <c r="AK13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J13" i="53" l="1"/>
  <c r="AM13" i="53" s="1"/>
  <c r="AJ11" i="53"/>
  <c r="AL11" i="53"/>
  <c r="AL13" i="53"/>
  <c r="AM11" i="51"/>
  <c r="AK11" i="51"/>
  <c r="AN11" i="51" s="1"/>
  <c r="H12" i="50"/>
  <c r="AL11" i="49"/>
  <c r="AM13" i="51"/>
  <c r="H12" i="52" s="1"/>
  <c r="AK13" i="51"/>
  <c r="AL13" i="49"/>
  <c r="F12" i="50"/>
  <c r="AK13" i="47"/>
  <c r="F12" i="48" s="1"/>
  <c r="AM13" i="47"/>
  <c r="H12" i="48" s="1"/>
  <c r="AM16" i="51"/>
  <c r="AK16" i="51"/>
  <c r="AL16" i="53"/>
  <c r="H16" i="54" s="1"/>
  <c r="AJ16" i="53"/>
  <c r="AJ9" i="53"/>
  <c r="AL9" i="53"/>
  <c r="AM9" i="51"/>
  <c r="H10" i="52" s="1"/>
  <c r="AK9" i="51"/>
  <c r="AK9" i="49"/>
  <c r="AI9" i="49"/>
  <c r="AI16" i="49"/>
  <c r="F16" i="50" s="1"/>
  <c r="AK16" i="49"/>
  <c r="H16" i="50" s="1"/>
  <c r="AK9" i="47"/>
  <c r="F10" i="48" s="1"/>
  <c r="AM16" i="47"/>
  <c r="H16" i="48" s="1"/>
  <c r="AM9" i="47"/>
  <c r="F11" i="48"/>
  <c r="AK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J12" i="48" l="1"/>
  <c r="AM11" i="53"/>
  <c r="F12" i="52"/>
  <c r="AN13" i="51"/>
  <c r="J12" i="50"/>
  <c r="AN13" i="47"/>
  <c r="F16" i="48"/>
  <c r="H11" i="48"/>
  <c r="J11" i="48" s="1"/>
  <c r="AN16" i="51"/>
  <c r="H10" i="54"/>
  <c r="F10" i="54"/>
  <c r="H10" i="50"/>
  <c r="F10" i="50"/>
  <c r="AM16" i="53"/>
  <c r="F16" i="54"/>
  <c r="H16" i="52"/>
  <c r="H10" i="48"/>
  <c r="AM9" i="53"/>
  <c r="F16" i="52"/>
  <c r="AN9" i="51"/>
  <c r="F10" i="52"/>
  <c r="AL16" i="49"/>
  <c r="AL9" i="49"/>
  <c r="AN16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3" i="45" l="1"/>
  <c r="AM11" i="45"/>
  <c r="AM13" i="45"/>
  <c r="AK11" i="45"/>
  <c r="AN11" i="45" s="1"/>
  <c r="AM13" i="43"/>
  <c r="AK11" i="43"/>
  <c r="AM11" i="43"/>
  <c r="AK13" i="43"/>
  <c r="AM11" i="41"/>
  <c r="AM13" i="41"/>
  <c r="AK11" i="41"/>
  <c r="AN11" i="41" s="1"/>
  <c r="AK13" i="41"/>
  <c r="AN13" i="41" s="1"/>
  <c r="J12" i="52"/>
  <c r="J16" i="48"/>
  <c r="AM16" i="45"/>
  <c r="AK16" i="45"/>
  <c r="AM16" i="43"/>
  <c r="AK16" i="43"/>
  <c r="AK16" i="41"/>
  <c r="AM16" i="41"/>
  <c r="S2" i="54"/>
  <c r="S2" i="50"/>
  <c r="S2" i="48"/>
  <c r="S2" i="52"/>
  <c r="J10" i="54"/>
  <c r="J16" i="54"/>
  <c r="J10" i="52"/>
  <c r="J16" i="52"/>
  <c r="J10" i="50"/>
  <c r="J16" i="50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3" i="45" l="1"/>
  <c r="AN13" i="43"/>
  <c r="AN11" i="43"/>
  <c r="AM13" i="39"/>
  <c r="AM11" i="39"/>
  <c r="AK13" i="39"/>
  <c r="AN13" i="39" s="1"/>
  <c r="AK11" i="39"/>
  <c r="AN11" i="39" s="1"/>
  <c r="I11" i="54"/>
  <c r="I12" i="54"/>
  <c r="G11" i="54"/>
  <c r="G12" i="54"/>
  <c r="G11" i="52"/>
  <c r="I11" i="52"/>
  <c r="G11" i="50"/>
  <c r="I11" i="50"/>
  <c r="I12" i="48"/>
  <c r="G12" i="48"/>
  <c r="AN16" i="45"/>
  <c r="I12" i="52"/>
  <c r="G12" i="52"/>
  <c r="G12" i="50"/>
  <c r="I12" i="50"/>
  <c r="G16" i="48"/>
  <c r="I16" i="48"/>
  <c r="I11" i="48"/>
  <c r="G11" i="48"/>
  <c r="AN16" i="41"/>
  <c r="AN16" i="43"/>
  <c r="G10" i="54"/>
  <c r="I10" i="54"/>
  <c r="I16" i="54"/>
  <c r="G16" i="54"/>
  <c r="AM16" i="39"/>
  <c r="AK16" i="39"/>
  <c r="G16" i="50"/>
  <c r="G10" i="50"/>
  <c r="I10" i="50"/>
  <c r="I16" i="50"/>
  <c r="G10" i="48"/>
  <c r="I10" i="48"/>
  <c r="G10" i="52"/>
  <c r="G16" i="52"/>
  <c r="I10" i="52"/>
  <c r="I16" i="52"/>
  <c r="H16" i="46"/>
  <c r="H16" i="44"/>
  <c r="H16" i="42"/>
  <c r="F16" i="46"/>
  <c r="AN9" i="45"/>
  <c r="F10" i="46"/>
  <c r="AN9" i="43"/>
  <c r="F16" i="44"/>
  <c r="AN9" i="41"/>
  <c r="F10" i="42"/>
  <c r="F16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AK13" i="37" l="1"/>
  <c r="AN13" i="37" s="1"/>
  <c r="AM13" i="37"/>
  <c r="AK11" i="37"/>
  <c r="AM11" i="37"/>
  <c r="AM13" i="35"/>
  <c r="AK11" i="35"/>
  <c r="AK13" i="35"/>
  <c r="AM11" i="35"/>
  <c r="K12" i="54"/>
  <c r="O12" i="54" s="1"/>
  <c r="K11" i="54"/>
  <c r="O11" i="54" s="1"/>
  <c r="K11" i="52"/>
  <c r="O11" i="52" s="1"/>
  <c r="K11" i="50"/>
  <c r="O11" i="50" s="1"/>
  <c r="K12" i="48"/>
  <c r="AN16" i="39"/>
  <c r="G14" i="48"/>
  <c r="I14" i="48"/>
  <c r="K16" i="48"/>
  <c r="K12" i="52"/>
  <c r="O12" i="52" s="1"/>
  <c r="K12" i="50"/>
  <c r="O12" i="50" s="1"/>
  <c r="K11" i="48"/>
  <c r="K10" i="50"/>
  <c r="O10" i="50" s="1"/>
  <c r="K10" i="48"/>
  <c r="O10" i="48" s="1"/>
  <c r="K16" i="54"/>
  <c r="O16" i="54" s="1"/>
  <c r="S2" i="44"/>
  <c r="G18" i="50"/>
  <c r="K16" i="50"/>
  <c r="O16" i="50" s="1"/>
  <c r="I14" i="54"/>
  <c r="K10" i="54"/>
  <c r="O10" i="54" s="1"/>
  <c r="I18" i="54"/>
  <c r="G14" i="54"/>
  <c r="G18" i="54"/>
  <c r="G18" i="52"/>
  <c r="AM16" i="37"/>
  <c r="AK16" i="37"/>
  <c r="I14" i="50"/>
  <c r="I18" i="50"/>
  <c r="G14" i="50"/>
  <c r="AM16" i="35"/>
  <c r="AK16" i="35"/>
  <c r="K10" i="52"/>
  <c r="O10" i="52" s="1"/>
  <c r="G18" i="48"/>
  <c r="I18" i="48"/>
  <c r="G14" i="52"/>
  <c r="K16" i="52"/>
  <c r="O16" i="52" s="1"/>
  <c r="I14" i="52"/>
  <c r="I18" i="52"/>
  <c r="S2" i="46"/>
  <c r="S2" i="42"/>
  <c r="H16" i="40"/>
  <c r="J10" i="46"/>
  <c r="J16" i="46"/>
  <c r="J10" i="44"/>
  <c r="J16" i="44"/>
  <c r="J16" i="42"/>
  <c r="J10" i="42"/>
  <c r="F16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Q12" i="54" l="1"/>
  <c r="Q12" i="15" s="1"/>
  <c r="Q11" i="50"/>
  <c r="M11" i="15" s="1"/>
  <c r="Q12" i="50"/>
  <c r="M12" i="15" s="1"/>
  <c r="Q11" i="52"/>
  <c r="O11" i="15" s="1"/>
  <c r="Q12" i="52"/>
  <c r="O12" i="15" s="1"/>
  <c r="Q11" i="54"/>
  <c r="Q11" i="15" s="1"/>
  <c r="O16" i="48"/>
  <c r="Q16" i="48" s="1"/>
  <c r="K13" i="15" s="1"/>
  <c r="O12" i="48"/>
  <c r="Q12" i="48" s="1"/>
  <c r="K12" i="15" s="1"/>
  <c r="O11" i="48"/>
  <c r="Q11" i="48" s="1"/>
  <c r="K11" i="15" s="1"/>
  <c r="I11" i="46"/>
  <c r="I12" i="46"/>
  <c r="G11" i="46"/>
  <c r="G12" i="46"/>
  <c r="I11" i="44"/>
  <c r="I12" i="44"/>
  <c r="G11" i="44"/>
  <c r="G12" i="44"/>
  <c r="G12" i="42"/>
  <c r="I12" i="42"/>
  <c r="G11" i="42"/>
  <c r="I11" i="42"/>
  <c r="AN11" i="37"/>
  <c r="AN13" i="35"/>
  <c r="AN11" i="35"/>
  <c r="K14" i="48"/>
  <c r="G10" i="44"/>
  <c r="AN16" i="37"/>
  <c r="K14" i="50"/>
  <c r="K14" i="54"/>
  <c r="K18" i="50"/>
  <c r="K18" i="54"/>
  <c r="AN16" i="35"/>
  <c r="K14" i="52"/>
  <c r="G10" i="42"/>
  <c r="K18" i="48"/>
  <c r="I10" i="42"/>
  <c r="G16" i="42"/>
  <c r="I16" i="42"/>
  <c r="K18" i="52"/>
  <c r="I16" i="46"/>
  <c r="G16" i="46"/>
  <c r="G10" i="46"/>
  <c r="I10" i="46"/>
  <c r="I10" i="44"/>
  <c r="I16" i="44"/>
  <c r="G16" i="44"/>
  <c r="S2" i="40"/>
  <c r="H16" i="38"/>
  <c r="H16" i="36"/>
  <c r="J10" i="40"/>
  <c r="J16" i="40"/>
  <c r="F16" i="38"/>
  <c r="AN9" i="37"/>
  <c r="F10" i="38"/>
  <c r="F16" i="36"/>
  <c r="AN9" i="35"/>
  <c r="F10" i="36"/>
  <c r="AI6" i="33"/>
  <c r="AJ5" i="33"/>
  <c r="AJ6" i="33" s="1"/>
  <c r="Y5" i="14"/>
  <c r="X6" i="14"/>
  <c r="K12" i="46" l="1"/>
  <c r="K11" i="46"/>
  <c r="O11" i="46" s="1"/>
  <c r="K12" i="44"/>
  <c r="O12" i="44" s="1"/>
  <c r="K11" i="44"/>
  <c r="O11" i="44" s="1"/>
  <c r="K12" i="42"/>
  <c r="O12" i="42" s="1"/>
  <c r="K11" i="42"/>
  <c r="O11" i="42" s="1"/>
  <c r="I11" i="40"/>
  <c r="I12" i="40"/>
  <c r="G11" i="40"/>
  <c r="G12" i="40"/>
  <c r="AM11" i="33"/>
  <c r="AK11" i="33"/>
  <c r="AN11" i="33" s="1"/>
  <c r="AM13" i="33"/>
  <c r="AK13" i="33"/>
  <c r="AN13" i="33" s="1"/>
  <c r="Q10" i="48"/>
  <c r="K10" i="15" s="1"/>
  <c r="K10" i="44"/>
  <c r="O10" i="44" s="1"/>
  <c r="K16" i="46"/>
  <c r="O16" i="46" s="1"/>
  <c r="G14" i="42"/>
  <c r="K10" i="46"/>
  <c r="O10" i="46" s="1"/>
  <c r="K16" i="42"/>
  <c r="O16" i="42" s="1"/>
  <c r="K10" i="42"/>
  <c r="O10" i="42" s="1"/>
  <c r="I14" i="42"/>
  <c r="AK16" i="33"/>
  <c r="AM16" i="33"/>
  <c r="K16" i="44"/>
  <c r="O16" i="44" s="1"/>
  <c r="G14" i="46"/>
  <c r="G18" i="46"/>
  <c r="I18" i="46"/>
  <c r="I14" i="46"/>
  <c r="I18" i="44"/>
  <c r="G18" i="44"/>
  <c r="I14" i="44"/>
  <c r="G14" i="44"/>
  <c r="I18" i="42"/>
  <c r="G18" i="42"/>
  <c r="I10" i="40"/>
  <c r="I16" i="40"/>
  <c r="G16" i="40"/>
  <c r="G10" i="40"/>
  <c r="S2" i="38"/>
  <c r="S2" i="36"/>
  <c r="O18" i="54"/>
  <c r="Q16" i="54"/>
  <c r="Q13" i="15" s="1"/>
  <c r="O14" i="52"/>
  <c r="Q10" i="52"/>
  <c r="O10" i="15" s="1"/>
  <c r="O18" i="52"/>
  <c r="Q16" i="52"/>
  <c r="O13" i="15" s="1"/>
  <c r="O18" i="50"/>
  <c r="Q16" i="50"/>
  <c r="M13" i="15" s="1"/>
  <c r="O14" i="50"/>
  <c r="Q10" i="50"/>
  <c r="M10" i="15" s="1"/>
  <c r="O18" i="48"/>
  <c r="J10" i="38"/>
  <c r="J16" i="38"/>
  <c r="J10" i="36"/>
  <c r="J16" i="36"/>
  <c r="AM9" i="33"/>
  <c r="H10" i="34" s="1"/>
  <c r="AK9" i="33"/>
  <c r="Z5" i="14"/>
  <c r="Y6" i="14"/>
  <c r="O12" i="46" l="1"/>
  <c r="Q12" i="46" s="1"/>
  <c r="AG12" i="15" s="1"/>
  <c r="Q11" i="44"/>
  <c r="AE11" i="15" s="1"/>
  <c r="Q14" i="48"/>
  <c r="Q12" i="44"/>
  <c r="AE12" i="15" s="1"/>
  <c r="Q11" i="42"/>
  <c r="AC11" i="15" s="1"/>
  <c r="Q11" i="46"/>
  <c r="AG11" i="15" s="1"/>
  <c r="O14" i="54"/>
  <c r="Q12" i="42"/>
  <c r="AC12" i="15" s="1"/>
  <c r="K12" i="40"/>
  <c r="O12" i="40" s="1"/>
  <c r="K11" i="40"/>
  <c r="O11" i="40" s="1"/>
  <c r="I11" i="38"/>
  <c r="I12" i="38"/>
  <c r="G11" i="38"/>
  <c r="G12" i="38"/>
  <c r="I11" i="36"/>
  <c r="I12" i="36"/>
  <c r="G11" i="36"/>
  <c r="G12" i="36"/>
  <c r="Q18" i="54"/>
  <c r="Q18" i="52"/>
  <c r="Q14" i="52"/>
  <c r="Q18" i="50"/>
  <c r="Q14" i="50"/>
  <c r="Q18" i="48"/>
  <c r="O14" i="48"/>
  <c r="K14" i="46"/>
  <c r="AN16" i="33"/>
  <c r="Q10" i="54"/>
  <c r="Q10" i="15" s="1"/>
  <c r="K14" i="42"/>
  <c r="K18" i="46"/>
  <c r="K18" i="44"/>
  <c r="K14" i="44"/>
  <c r="K18" i="42"/>
  <c r="K16" i="40"/>
  <c r="O16" i="40" s="1"/>
  <c r="G14" i="40"/>
  <c r="G18" i="40"/>
  <c r="K10" i="40"/>
  <c r="O10" i="40" s="1"/>
  <c r="I18" i="40"/>
  <c r="I14" i="40"/>
  <c r="G10" i="38"/>
  <c r="G16" i="38"/>
  <c r="I10" i="38"/>
  <c r="I16" i="38"/>
  <c r="I10" i="36"/>
  <c r="I16" i="36"/>
  <c r="G16" i="36"/>
  <c r="G10" i="36"/>
  <c r="H16" i="34"/>
  <c r="F16" i="34"/>
  <c r="F10" i="34"/>
  <c r="AN9" i="33"/>
  <c r="AA5" i="14"/>
  <c r="Z6" i="14"/>
  <c r="O14" i="46" l="1"/>
  <c r="Q11" i="40"/>
  <c r="AA11" i="15" s="1"/>
  <c r="Q12" i="40"/>
  <c r="AA12" i="15" s="1"/>
  <c r="O14" i="44"/>
  <c r="K12" i="36"/>
  <c r="O12" i="36" s="1"/>
  <c r="K12" i="38"/>
  <c r="O12" i="38" s="1"/>
  <c r="K11" i="38"/>
  <c r="O11" i="38" s="1"/>
  <c r="K11" i="36"/>
  <c r="O11" i="36" s="1"/>
  <c r="O18" i="15"/>
  <c r="Q14" i="54"/>
  <c r="Q18" i="15"/>
  <c r="M18" i="15"/>
  <c r="K10" i="36"/>
  <c r="O10" i="36" s="1"/>
  <c r="G14" i="38"/>
  <c r="K14" i="40"/>
  <c r="K18" i="40"/>
  <c r="K10" i="38"/>
  <c r="O10" i="38" s="1"/>
  <c r="K16" i="38"/>
  <c r="O16" i="38" s="1"/>
  <c r="I18" i="38"/>
  <c r="G18" i="38"/>
  <c r="I14" i="38"/>
  <c r="G14" i="36"/>
  <c r="K16" i="36"/>
  <c r="O16" i="36" s="1"/>
  <c r="I14" i="36"/>
  <c r="G18" i="36"/>
  <c r="I18" i="36"/>
  <c r="S2" i="34"/>
  <c r="O18" i="46"/>
  <c r="Q16" i="46"/>
  <c r="AG13" i="15" s="1"/>
  <c r="Q10" i="46"/>
  <c r="AG10" i="15" s="1"/>
  <c r="Q10" i="44"/>
  <c r="AE10" i="15" s="1"/>
  <c r="O18" i="44"/>
  <c r="Q16" i="44"/>
  <c r="AE13" i="15" s="1"/>
  <c r="O14" i="42"/>
  <c r="Q10" i="42"/>
  <c r="AC10" i="15" s="1"/>
  <c r="O18" i="42"/>
  <c r="Q16" i="42"/>
  <c r="AC13" i="15" s="1"/>
  <c r="J16" i="34"/>
  <c r="J10" i="34"/>
  <c r="AB5" i="14"/>
  <c r="AA6" i="14"/>
  <c r="Q12" i="36" l="1"/>
  <c r="W12" i="15" s="1"/>
  <c r="Q11" i="36"/>
  <c r="W11" i="15" s="1"/>
  <c r="Q11" i="38"/>
  <c r="Y11" i="15" s="1"/>
  <c r="Q12" i="38"/>
  <c r="Y12" i="15" s="1"/>
  <c r="I11" i="34"/>
  <c r="I12" i="34"/>
  <c r="G11" i="34"/>
  <c r="G12" i="34"/>
  <c r="Q18" i="46"/>
  <c r="Q14" i="46"/>
  <c r="Q18" i="44"/>
  <c r="Q14" i="44"/>
  <c r="Q18" i="42"/>
  <c r="Q14" i="42"/>
  <c r="K18" i="15"/>
  <c r="I10" i="34"/>
  <c r="K14" i="38"/>
  <c r="I16" i="34"/>
  <c r="G10" i="34"/>
  <c r="G16" i="34"/>
  <c r="K18" i="38"/>
  <c r="K18" i="36"/>
  <c r="K14" i="36"/>
  <c r="O14" i="40"/>
  <c r="Q10" i="40"/>
  <c r="AA10" i="15" s="1"/>
  <c r="O18" i="40"/>
  <c r="Q16" i="40"/>
  <c r="AA13" i="15" s="1"/>
  <c r="AB6" i="14"/>
  <c r="AC5" i="14"/>
  <c r="K12" i="34" l="1"/>
  <c r="O12" i="34" s="1"/>
  <c r="K11" i="34"/>
  <c r="O11" i="34" s="1"/>
  <c r="AG18" i="15"/>
  <c r="AE18" i="15"/>
  <c r="AC18" i="15"/>
  <c r="Q18" i="40"/>
  <c r="Q14" i="40"/>
  <c r="K10" i="34"/>
  <c r="O10" i="34" s="1"/>
  <c r="G14" i="34"/>
  <c r="K16" i="34"/>
  <c r="O16" i="34" s="1"/>
  <c r="G18" i="34"/>
  <c r="I18" i="34"/>
  <c r="I14" i="34"/>
  <c r="O14" i="38"/>
  <c r="Q10" i="38"/>
  <c r="Y10" i="15" s="1"/>
  <c r="O18" i="38"/>
  <c r="Q16" i="38"/>
  <c r="Y13" i="15" s="1"/>
  <c r="O14" i="36"/>
  <c r="Q10" i="36"/>
  <c r="W10" i="15" s="1"/>
  <c r="O18" i="36"/>
  <c r="Q16" i="36"/>
  <c r="W13" i="15" s="1"/>
  <c r="AC6" i="14"/>
  <c r="AD5" i="14"/>
  <c r="Q12" i="34" l="1"/>
  <c r="U12" i="15" s="1"/>
  <c r="Q11" i="34"/>
  <c r="U11" i="15" s="1"/>
  <c r="AA18" i="15"/>
  <c r="Q18" i="38"/>
  <c r="Q14" i="38"/>
  <c r="Q18" i="36"/>
  <c r="Q14" i="36"/>
  <c r="K14" i="34"/>
  <c r="K18" i="34"/>
  <c r="AD6" i="14"/>
  <c r="AE5" i="14"/>
  <c r="O14" i="34" l="1"/>
  <c r="Q16" i="34"/>
  <c r="Q18" i="34" s="1"/>
  <c r="Y18" i="15"/>
  <c r="O18" i="34"/>
  <c r="Q10" i="34"/>
  <c r="U10" i="15" s="1"/>
  <c r="AF5" i="14"/>
  <c r="AE6" i="14"/>
  <c r="U13" i="15" l="1"/>
  <c r="W18" i="15"/>
  <c r="Q14" i="34"/>
  <c r="AF6" i="14"/>
  <c r="AG5" i="14"/>
  <c r="AH5" i="14" l="1"/>
  <c r="AG6" i="14"/>
  <c r="AI5" i="14" l="1"/>
  <c r="AH6" i="14"/>
  <c r="AJ5" i="14" l="1"/>
  <c r="AJ6" i="14" s="1"/>
  <c r="AI6" i="14"/>
  <c r="AM11" i="14" l="1"/>
  <c r="AM13" i="14"/>
  <c r="AK11" i="14"/>
  <c r="AN11" i="14" s="1"/>
  <c r="AK13" i="14"/>
  <c r="AN13" i="14" s="1"/>
  <c r="AM16" i="14"/>
  <c r="AK16" i="14"/>
  <c r="AK9" i="14"/>
  <c r="F10" i="16" s="1"/>
  <c r="AM9" i="14"/>
  <c r="H10" i="16" s="1"/>
  <c r="AN16" i="14" l="1"/>
  <c r="H16" i="16"/>
  <c r="F16" i="16"/>
  <c r="J10" i="16"/>
  <c r="AN9" i="14"/>
  <c r="J16" i="16" l="1"/>
  <c r="S2" i="16"/>
  <c r="I11" i="16" l="1"/>
  <c r="I12" i="16"/>
  <c r="G11" i="16"/>
  <c r="G12" i="16"/>
  <c r="I10" i="16"/>
  <c r="G10" i="16"/>
  <c r="I16" i="16"/>
  <c r="G16" i="16"/>
  <c r="K12" i="16" l="1"/>
  <c r="O12" i="16" s="1"/>
  <c r="K11" i="16"/>
  <c r="O11" i="16" s="1"/>
  <c r="I18" i="16"/>
  <c r="G14" i="16"/>
  <c r="K10" i="16"/>
  <c r="O10" i="16" s="1"/>
  <c r="I14" i="16"/>
  <c r="K16" i="16"/>
  <c r="O16" i="16" s="1"/>
  <c r="G18" i="16"/>
  <c r="Q12" i="16" l="1"/>
  <c r="S12" i="15" s="1"/>
  <c r="Q11" i="16"/>
  <c r="S11" i="15" s="1"/>
  <c r="K14" i="16"/>
  <c r="K18" i="16"/>
  <c r="AH11" i="15" l="1"/>
  <c r="Q10" i="16" l="1"/>
  <c r="S10" i="15" s="1"/>
  <c r="O14" i="16"/>
  <c r="O18" i="16"/>
  <c r="Q16" i="16"/>
  <c r="S13" i="15" s="1"/>
  <c r="AH12" i="15" l="1"/>
  <c r="AH13" i="15"/>
  <c r="U18" i="15"/>
  <c r="Q18" i="16"/>
  <c r="Q14" i="16"/>
  <c r="S18" i="15" l="1"/>
  <c r="AH18" i="15" s="1"/>
  <c r="AH10" i="15"/>
</calcChain>
</file>

<file path=xl/sharedStrings.xml><?xml version="1.0" encoding="utf-8"?>
<sst xmlns="http://schemas.openxmlformats.org/spreadsheetml/2006/main" count="1065" uniqueCount="103">
  <si>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</si>
  <si>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</si>
  <si>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</si>
  <si>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</si>
  <si>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</si>
  <si>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</si>
  <si>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</si>
  <si>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</si>
  <si>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</si>
  <si>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</si>
  <si>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</si>
  <si>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</si>
  <si>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</si>
  <si>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</si>
  <si>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</si>
  <si>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</si>
  <si>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</si>
  <si>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</si>
  <si>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</si>
  <si>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</si>
  <si>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</si>
  <si>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</si>
  <si>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</si>
  <si>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</si>
  <si>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</si>
  <si>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</si>
  <si>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</si>
  <si>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</si>
  <si>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</si>
  <si>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</si>
  <si>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</si>
  <si>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</si>
  <si>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</si>
  <si>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</si>
  <si>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</si>
  <si>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</si>
  <si>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</si>
  <si>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</si>
  <si>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</si>
  <si>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</si>
  <si>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</si>
  <si>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</si>
  <si>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</si>
  <si>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</si>
  <si>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</si>
  <si>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</si>
  <si>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</si>
  <si>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</si>
  <si>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</si>
  <si>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</si>
  <si>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</si>
  <si>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</si>
  <si>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</si>
  <si>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</si>
  <si>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</si>
  <si>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</si>
  <si>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</si>
  <si>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</si>
  <si>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</si>
  <si>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</si>
  <si>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</si>
  <si>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</si>
  <si>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</si>
  <si>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</si>
  <si>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</si>
  <si>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</si>
  <si>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</si>
  <si>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</si>
  <si>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</si>
  <si>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</si>
  <si>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</si>
  <si>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</si>
  <si>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</si>
  <si>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</si>
  <si>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</si>
  <si>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</si>
  <si>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</si>
  <si>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</si>
  <si>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</si>
  <si>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</si>
  <si>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</si>
  <si>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</si>
  <si>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</si>
  <si>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</si>
  <si>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</si>
  <si>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</si>
  <si>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</si>
  <si>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</si>
  <si>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</si>
  <si>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</si>
  <si>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</si>
  <si>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</si>
  <si>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</si>
  <si>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</si>
  <si>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</si>
  <si>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</si>
  <si>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</si>
  <si>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 xml:space="preserve">Địa chỉ: Thửa đất số 144, tờ bản đồ số 12TĐH.1, tổ 1, khu phố Đông Tá - PhườngTân Đông Hiệp - TX Dĩ An - Bình Dương
</t>
  </si>
  <si>
    <t>191322620</t>
  </si>
  <si>
    <t>241191354</t>
  </si>
  <si>
    <t>334713260</t>
  </si>
  <si>
    <t>8009869021</t>
  </si>
  <si>
    <t>172088136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</si>
</sst>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1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9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19"/>
  <sheetViews>
    <sheetView tabSelected="1" topLeftCell="A2" workbookViewId="0">
      <selection activeCell="F15" sqref="F15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8" t="s">
        <v>95</v>
      </c>
      <c r="E1" s="41"/>
      <c r="F1" s="25"/>
      <c r="G1" s="25"/>
      <c r="H1" s="25"/>
      <c r="AI1" s="41"/>
      <c r="AJ1" s="41"/>
      <c r="AK1" s="41"/>
      <c r="AL1" s="41"/>
    </row>
    <row r="2" spans="1:38" s="2" customFormat="1">
      <c r="A2" s="219" t="s">
        <v>97</v>
      </c>
      <c r="E2" s="41"/>
      <c r="F2" s="25"/>
      <c r="G2" s="25"/>
      <c r="H2" s="25"/>
      <c r="AI2" s="41"/>
      <c r="AJ2" s="41"/>
      <c r="AK2" s="41"/>
      <c r="AL2" s="41"/>
    </row>
    <row r="3" spans="1:38" s="2" customFormat="1">
      <c r="A3" s="217"/>
      <c r="B3" s="97"/>
      <c r="E3" s="41"/>
      <c r="F3" s="25"/>
      <c r="G3" s="25"/>
      <c r="H3" s="25"/>
      <c r="AI3" s="41"/>
      <c r="AJ3" s="41"/>
      <c r="AK3" s="41"/>
      <c r="AL3" s="41"/>
    </row>
    <row r="4" spans="1:38" s="2" customFormat="1" ht="23.25" customHeight="1"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 t="s">
        <v>31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41"/>
      <c r="AL4" s="41"/>
    </row>
    <row r="5" spans="1:38" s="2" customFormat="1" ht="23.25" customHeight="1"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 t="s">
        <v>96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41"/>
      <c r="AL5" s="41"/>
    </row>
    <row r="6" spans="1:38" s="115" customFormat="1" ht="19.5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  <c r="AL6" s="114"/>
    </row>
    <row r="7" spans="1:38" s="1" customFormat="1" ht="20.25" customHeight="1">
      <c r="A7" s="232" t="s">
        <v>18</v>
      </c>
      <c r="B7" s="232" t="s">
        <v>3</v>
      </c>
      <c r="C7" s="232" t="s">
        <v>1</v>
      </c>
      <c r="D7" s="232" t="s">
        <v>2</v>
      </c>
      <c r="E7" s="235" t="s">
        <v>48</v>
      </c>
      <c r="F7" s="235"/>
      <c r="G7" s="224" t="s">
        <v>78</v>
      </c>
      <c r="H7" s="236"/>
      <c r="I7" s="225"/>
      <c r="J7" s="224" t="s">
        <v>52</v>
      </c>
      <c r="K7" s="225"/>
      <c r="L7" s="224" t="s">
        <v>53</v>
      </c>
      <c r="M7" s="225"/>
      <c r="N7" s="224" t="s">
        <v>54</v>
      </c>
      <c r="O7" s="225"/>
      <c r="P7" s="224" t="s">
        <v>55</v>
      </c>
      <c r="Q7" s="225"/>
      <c r="R7" s="224" t="s">
        <v>56</v>
      </c>
      <c r="S7" s="225"/>
      <c r="T7" s="224" t="s">
        <v>57</v>
      </c>
      <c r="U7" s="225"/>
      <c r="V7" s="224" t="s">
        <v>58</v>
      </c>
      <c r="W7" s="225"/>
      <c r="X7" s="224" t="s">
        <v>59</v>
      </c>
      <c r="Y7" s="225"/>
      <c r="Z7" s="224" t="s">
        <v>60</v>
      </c>
      <c r="AA7" s="225"/>
      <c r="AB7" s="224" t="s">
        <v>61</v>
      </c>
      <c r="AC7" s="225"/>
      <c r="AD7" s="224" t="s">
        <v>62</v>
      </c>
      <c r="AE7" s="225"/>
      <c r="AF7" s="224" t="s">
        <v>63</v>
      </c>
      <c r="AG7" s="225"/>
      <c r="AH7" s="233" t="s">
        <v>83</v>
      </c>
      <c r="AI7" s="233" t="s">
        <v>21</v>
      </c>
      <c r="AJ7" s="233" t="s">
        <v>10</v>
      </c>
      <c r="AK7" s="95"/>
      <c r="AL7" s="95"/>
    </row>
    <row r="8" spans="1:38" s="1" customFormat="1" ht="20.25" customHeight="1">
      <c r="A8" s="232"/>
      <c r="B8" s="232"/>
      <c r="C8" s="232"/>
      <c r="D8" s="232"/>
      <c r="E8" s="157" t="s">
        <v>70</v>
      </c>
      <c r="F8" s="157">
        <v>2015</v>
      </c>
      <c r="G8" s="212" t="s">
        <v>79</v>
      </c>
      <c r="H8" s="212" t="s">
        <v>80</v>
      </c>
      <c r="I8" s="212"/>
      <c r="J8" s="156" t="s">
        <v>82</v>
      </c>
      <c r="K8" s="212" t="s">
        <v>81</v>
      </c>
      <c r="L8" s="212" t="s">
        <v>82</v>
      </c>
      <c r="M8" s="212" t="s">
        <v>81</v>
      </c>
      <c r="N8" s="212" t="s">
        <v>82</v>
      </c>
      <c r="O8" s="212" t="s">
        <v>81</v>
      </c>
      <c r="P8" s="212" t="s">
        <v>82</v>
      </c>
      <c r="Q8" s="212" t="s">
        <v>81</v>
      </c>
      <c r="R8" s="212" t="s">
        <v>82</v>
      </c>
      <c r="S8" s="212" t="s">
        <v>81</v>
      </c>
      <c r="T8" s="212" t="s">
        <v>82</v>
      </c>
      <c r="U8" s="212" t="s">
        <v>81</v>
      </c>
      <c r="V8" s="212" t="s">
        <v>82</v>
      </c>
      <c r="W8" s="212" t="s">
        <v>81</v>
      </c>
      <c r="X8" s="212" t="s">
        <v>82</v>
      </c>
      <c r="Y8" s="212" t="s">
        <v>81</v>
      </c>
      <c r="Z8" s="212" t="s">
        <v>82</v>
      </c>
      <c r="AA8" s="212" t="s">
        <v>81</v>
      </c>
      <c r="AB8" s="212" t="s">
        <v>82</v>
      </c>
      <c r="AC8" s="212" t="s">
        <v>81</v>
      </c>
      <c r="AD8" s="212" t="s">
        <v>82</v>
      </c>
      <c r="AE8" s="212" t="s">
        <v>81</v>
      </c>
      <c r="AF8" s="212" t="s">
        <v>82</v>
      </c>
      <c r="AG8" s="212" t="s">
        <v>81</v>
      </c>
      <c r="AH8" s="234"/>
      <c r="AI8" s="234"/>
      <c r="AJ8" s="234"/>
      <c r="AK8" s="95"/>
      <c r="AL8" s="95"/>
    </row>
    <row r="9" spans="1:38" s="2" customFormat="1" ht="14.25" customHeight="1">
      <c r="A9" s="117">
        <v>1</v>
      </c>
      <c r="B9" s="117">
        <v>1</v>
      </c>
      <c r="C9" s="117">
        <v>2</v>
      </c>
      <c r="D9" s="117">
        <v>3</v>
      </c>
      <c r="E9" s="117">
        <v>4</v>
      </c>
      <c r="F9" s="117">
        <v>5</v>
      </c>
      <c r="G9" s="117">
        <v>6</v>
      </c>
      <c r="H9" s="117">
        <v>7</v>
      </c>
      <c r="I9" s="117">
        <v>8</v>
      </c>
      <c r="J9" s="117">
        <v>9</v>
      </c>
      <c r="K9" s="117">
        <v>10</v>
      </c>
      <c r="L9" s="117">
        <v>11</v>
      </c>
      <c r="M9" s="117">
        <v>12</v>
      </c>
      <c r="N9" s="117">
        <v>13</v>
      </c>
      <c r="O9" s="117">
        <v>14</v>
      </c>
      <c r="P9" s="117">
        <v>15</v>
      </c>
      <c r="Q9" s="117">
        <v>16</v>
      </c>
      <c r="R9" s="117">
        <v>17</v>
      </c>
      <c r="S9" s="117">
        <v>18</v>
      </c>
      <c r="T9" s="117">
        <v>19</v>
      </c>
      <c r="U9" s="117">
        <v>20</v>
      </c>
      <c r="V9" s="117">
        <v>21</v>
      </c>
      <c r="W9" s="117">
        <v>22</v>
      </c>
      <c r="X9" s="117">
        <v>23</v>
      </c>
      <c r="Y9" s="117">
        <v>24</v>
      </c>
      <c r="Z9" s="117">
        <v>25</v>
      </c>
      <c r="AA9" s="117">
        <v>26</v>
      </c>
      <c r="AB9" s="117">
        <v>27</v>
      </c>
      <c r="AC9" s="117">
        <v>28</v>
      </c>
      <c r="AD9" s="117">
        <v>29</v>
      </c>
      <c r="AE9" s="117">
        <v>30</v>
      </c>
      <c r="AF9" s="117">
        <v>31</v>
      </c>
      <c r="AG9" s="117">
        <v>32</v>
      </c>
      <c r="AH9" s="117">
        <v>33</v>
      </c>
      <c r="AI9" s="117">
        <v>34</v>
      </c>
      <c r="AJ9" s="117">
        <v>35</v>
      </c>
      <c r="AK9" s="41"/>
      <c r="AL9" s="41"/>
    </row>
    <row r="10" spans="1:38" s="146" customFormat="1" ht="21.75" customHeight="1">
      <c r="A10" s="143">
        <f>IF(B10&lt;&gt;"",ROW()-9,"")</f>
        <v>1</v>
      </c>
      <c r="B10" s="143" t="s">
        <v>72</v>
      </c>
      <c r="C10" s="223" t="s">
        <v>85</v>
      </c>
      <c r="D10" s="143" t="s">
        <v>86</v>
      </c>
      <c r="E10" s="173">
        <v>3750000</v>
      </c>
      <c r="F10" s="173"/>
      <c r="G10" s="214"/>
      <c r="H10" s="215" t="s">
        <v>98</v>
      </c>
      <c r="I10" s="139"/>
      <c r="J10" s="139"/>
      <c r="K10" s="139">
        <f t="shared" ref="K10:K15" si="0">IF(ISNA(VLOOKUP($B10,DS_01,16,0)),0,VLOOKUP($B10,DS_01,16,0))</f>
        <v>3750000</v>
      </c>
      <c r="L10" s="139"/>
      <c r="M10" s="139">
        <f t="shared" ref="M10:M15" si="1">IF(ISNA(VLOOKUP($B10,DS_02,16,0)),0,VLOOKUP($B10,DS_02,16,0))</f>
        <v>3750000</v>
      </c>
      <c r="N10" s="139"/>
      <c r="O10" s="139">
        <f t="shared" ref="O10:O15" si="2">IF(ISNA(VLOOKUP($B10,DS_03,16,0)),0,VLOOKUP($B10,DS_03,16,0))</f>
        <v>3750000</v>
      </c>
      <c r="P10" s="139"/>
      <c r="Q10" s="139">
        <f t="shared" ref="Q10:Q15" si="3">IF(ISNA(VLOOKUP($B10,DS_04,16,0)),0,VLOOKUP($B10,DS_04,16,0))</f>
        <v>3750000</v>
      </c>
      <c r="R10" s="139" t="s">
        <v>94</v>
      </c>
      <c r="S10" s="139">
        <f t="shared" ref="S10:S15" si="4">IF(ISNA(VLOOKUP($B10,DS_05,16,0)),0,VLOOKUP($B10,DS_05,16,0))</f>
        <v>3356250</v>
      </c>
      <c r="T10" s="139" t="s">
        <v>94</v>
      </c>
      <c r="U10" s="139">
        <f t="shared" ref="U10:U15" si="5">IF(ISNA(VLOOKUP($B10,DS_06,16,0)),0,VLOOKUP($B10,DS_06,16,0))</f>
        <v>3356250</v>
      </c>
      <c r="V10" s="139" t="s">
        <v>94</v>
      </c>
      <c r="W10" s="139">
        <f t="shared" ref="W10:W15" si="6">IF(ISNA(VLOOKUP($B10,DS_07,16,0)),0,VLOOKUP($B10,DS_07,16,0))</f>
        <v>3356250</v>
      </c>
      <c r="X10" s="139" t="s">
        <v>94</v>
      </c>
      <c r="Y10" s="139">
        <f t="shared" ref="Y10:Y15" si="7">IF(ISNA(VLOOKUP($B10,DS_08,16,0)),0,VLOOKUP($B10,DS_08,16,0))</f>
        <v>3356250</v>
      </c>
      <c r="Z10" s="139" t="s">
        <v>94</v>
      </c>
      <c r="AA10" s="139">
        <f t="shared" ref="AA10:AA15" si="8">IF(ISNA(VLOOKUP($B10,DS_09,16,0)),0,VLOOKUP($B10,DS_09,16,0))</f>
        <v>3356250</v>
      </c>
      <c r="AB10" s="139" t="s">
        <v>94</v>
      </c>
      <c r="AC10" s="139">
        <f t="shared" ref="AC10:AC15" si="9">IF(ISNA(VLOOKUP($B10,DS_10,16,0)),0,VLOOKUP($B10,DS_10,16,0))</f>
        <v>3356250</v>
      </c>
      <c r="AD10" s="139" t="s">
        <v>94</v>
      </c>
      <c r="AE10" s="139">
        <f t="shared" ref="AE10:AE15" si="10">IF(ISNA(VLOOKUP($B10,DS_11,16,0)),0,VLOOKUP($B10,DS_11,16,0))</f>
        <v>3356250</v>
      </c>
      <c r="AF10" s="139" t="s">
        <v>94</v>
      </c>
      <c r="AG10" s="139">
        <f t="shared" ref="AG10:AG15" si="11">IF(ISNA(VLOOKUP($B10,DS_12,16,0)),0,VLOOKUP($B10,DS_12,16,0))</f>
        <v>3356250</v>
      </c>
      <c r="AH10" s="139">
        <f t="shared" ref="AH10:AH14" si="12">K10+M10+O10+Q10+S10+U10+W10+Y10+AA10+AC10+AE10+AG10</f>
        <v>41850000</v>
      </c>
      <c r="AI10" s="139"/>
      <c r="AJ10" s="139"/>
      <c r="AK10" s="144"/>
      <c r="AL10" s="145"/>
    </row>
    <row r="11" spans="1:38" s="146" customFormat="1" ht="21.75" customHeight="1">
      <c r="A11" s="143">
        <f t="shared" ref="A11:A13" si="13">IF(B11&lt;&gt;"",ROW()-9,"")</f>
        <v>2</v>
      </c>
      <c r="B11" s="143" t="s">
        <v>73</v>
      </c>
      <c r="C11" s="223" t="s">
        <v>87</v>
      </c>
      <c r="D11" s="143" t="s">
        <v>88</v>
      </c>
      <c r="E11" s="173">
        <v>3750000</v>
      </c>
      <c r="F11" s="173"/>
      <c r="G11" s="215"/>
      <c r="H11" s="216" t="s">
        <v>99</v>
      </c>
      <c r="I11" s="139"/>
      <c r="J11" s="139"/>
      <c r="K11" s="139">
        <f t="shared" si="0"/>
        <v>3750000</v>
      </c>
      <c r="L11" s="139"/>
      <c r="M11" s="139">
        <f t="shared" si="1"/>
        <v>3750000</v>
      </c>
      <c r="N11" s="139"/>
      <c r="O11" s="139">
        <f t="shared" si="2"/>
        <v>3750000</v>
      </c>
      <c r="P11" s="139"/>
      <c r="Q11" s="139">
        <f t="shared" si="3"/>
        <v>3750000</v>
      </c>
      <c r="R11" s="139" t="s">
        <v>94</v>
      </c>
      <c r="S11" s="139">
        <f t="shared" si="4"/>
        <v>3356250</v>
      </c>
      <c r="T11" s="139" t="s">
        <v>94</v>
      </c>
      <c r="U11" s="139">
        <f t="shared" si="5"/>
        <v>3356250</v>
      </c>
      <c r="V11" s="139" t="s">
        <v>94</v>
      </c>
      <c r="W11" s="139">
        <f t="shared" si="6"/>
        <v>3356250</v>
      </c>
      <c r="X11" s="139" t="s">
        <v>94</v>
      </c>
      <c r="Y11" s="139">
        <f t="shared" si="7"/>
        <v>3356250</v>
      </c>
      <c r="Z11" s="139" t="s">
        <v>94</v>
      </c>
      <c r="AA11" s="139">
        <f t="shared" si="8"/>
        <v>3356250</v>
      </c>
      <c r="AB11" s="139" t="s">
        <v>94</v>
      </c>
      <c r="AC11" s="139">
        <f t="shared" si="9"/>
        <v>3356250</v>
      </c>
      <c r="AD11" s="139" t="s">
        <v>94</v>
      </c>
      <c r="AE11" s="139">
        <f t="shared" si="10"/>
        <v>3356250</v>
      </c>
      <c r="AF11" s="139" t="s">
        <v>94</v>
      </c>
      <c r="AG11" s="139">
        <f t="shared" si="11"/>
        <v>3356250</v>
      </c>
      <c r="AH11" s="139">
        <f t="shared" si="12"/>
        <v>41850000</v>
      </c>
      <c r="AI11" s="139"/>
      <c r="AJ11" s="139"/>
      <c r="AK11" s="144"/>
      <c r="AL11" s="145"/>
    </row>
    <row r="12" spans="1:38" s="146" customFormat="1" ht="21.75" customHeight="1">
      <c r="A12" s="143">
        <f t="shared" si="13"/>
        <v>3</v>
      </c>
      <c r="B12" s="143" t="s">
        <v>93</v>
      </c>
      <c r="C12" s="223" t="s">
        <v>89</v>
      </c>
      <c r="D12" s="143" t="s">
        <v>90</v>
      </c>
      <c r="E12" s="139">
        <v>3500000</v>
      </c>
      <c r="F12" s="139"/>
      <c r="G12" s="215" t="s">
        <v>101</v>
      </c>
      <c r="H12" s="215" t="s">
        <v>102</v>
      </c>
      <c r="I12" s="139"/>
      <c r="J12" s="139"/>
      <c r="K12" s="139">
        <f t="shared" si="0"/>
        <v>3500000</v>
      </c>
      <c r="L12" s="139"/>
      <c r="M12" s="139">
        <f t="shared" si="1"/>
        <v>3500000</v>
      </c>
      <c r="N12" s="139"/>
      <c r="O12" s="139">
        <f t="shared" si="2"/>
        <v>3500000</v>
      </c>
      <c r="P12" s="139"/>
      <c r="Q12" s="139">
        <f t="shared" si="3"/>
        <v>3500000</v>
      </c>
      <c r="R12" s="139" t="s">
        <v>94</v>
      </c>
      <c r="S12" s="139">
        <f t="shared" si="4"/>
        <v>3132500</v>
      </c>
      <c r="T12" s="139" t="s">
        <v>94</v>
      </c>
      <c r="U12" s="139">
        <f t="shared" si="5"/>
        <v>3132500</v>
      </c>
      <c r="V12" s="139" t="s">
        <v>94</v>
      </c>
      <c r="W12" s="139">
        <f t="shared" si="6"/>
        <v>3132500</v>
      </c>
      <c r="X12" s="139" t="s">
        <v>94</v>
      </c>
      <c r="Y12" s="139">
        <f t="shared" si="7"/>
        <v>3132500</v>
      </c>
      <c r="Z12" s="139" t="s">
        <v>94</v>
      </c>
      <c r="AA12" s="139">
        <f t="shared" si="8"/>
        <v>3132500</v>
      </c>
      <c r="AB12" s="139" t="s">
        <v>94</v>
      </c>
      <c r="AC12" s="139">
        <f t="shared" si="9"/>
        <v>3132500</v>
      </c>
      <c r="AD12" s="139" t="s">
        <v>94</v>
      </c>
      <c r="AE12" s="139">
        <f t="shared" si="10"/>
        <v>3132500</v>
      </c>
      <c r="AF12" s="139" t="s">
        <v>94</v>
      </c>
      <c r="AG12" s="139">
        <f t="shared" si="11"/>
        <v>3132500</v>
      </c>
      <c r="AH12" s="139">
        <f t="shared" si="12"/>
        <v>39060000</v>
      </c>
      <c r="AI12" s="139"/>
      <c r="AJ12" s="139"/>
      <c r="AK12" s="144"/>
      <c r="AL12" s="145"/>
    </row>
    <row r="13" spans="1:38" s="154" customFormat="1" ht="21.75" customHeight="1">
      <c r="A13" s="143">
        <f t="shared" si="13"/>
        <v>4</v>
      </c>
      <c r="B13" s="149" t="s">
        <v>74</v>
      </c>
      <c r="C13" s="150" t="s">
        <v>91</v>
      </c>
      <c r="D13" s="148" t="s">
        <v>92</v>
      </c>
      <c r="E13" s="151">
        <v>3500000</v>
      </c>
      <c r="F13" s="151"/>
      <c r="G13" s="216"/>
      <c r="H13" s="216" t="s">
        <v>100</v>
      </c>
      <c r="I13" s="151"/>
      <c r="J13" s="151"/>
      <c r="K13" s="139">
        <f t="shared" si="0"/>
        <v>3500000</v>
      </c>
      <c r="L13" s="151"/>
      <c r="M13" s="139">
        <f t="shared" si="1"/>
        <v>3500000</v>
      </c>
      <c r="N13" s="151"/>
      <c r="O13" s="139">
        <f t="shared" si="2"/>
        <v>3500000</v>
      </c>
      <c r="P13" s="151"/>
      <c r="Q13" s="139">
        <f t="shared" si="3"/>
        <v>3500000</v>
      </c>
      <c r="R13" s="139" t="s">
        <v>94</v>
      </c>
      <c r="S13" s="139">
        <f t="shared" si="4"/>
        <v>3132500</v>
      </c>
      <c r="T13" s="139" t="s">
        <v>94</v>
      </c>
      <c r="U13" s="139">
        <f t="shared" si="5"/>
        <v>3132500</v>
      </c>
      <c r="V13" s="139" t="s">
        <v>94</v>
      </c>
      <c r="W13" s="139">
        <f t="shared" si="6"/>
        <v>3132500</v>
      </c>
      <c r="X13" s="139" t="s">
        <v>94</v>
      </c>
      <c r="Y13" s="139">
        <f t="shared" si="7"/>
        <v>3132500</v>
      </c>
      <c r="Z13" s="139" t="s">
        <v>94</v>
      </c>
      <c r="AA13" s="139">
        <f t="shared" si="8"/>
        <v>3132500</v>
      </c>
      <c r="AB13" s="139" t="s">
        <v>94</v>
      </c>
      <c r="AC13" s="139">
        <f t="shared" si="9"/>
        <v>3132500</v>
      </c>
      <c r="AD13" s="139" t="s">
        <v>94</v>
      </c>
      <c r="AE13" s="139">
        <f t="shared" si="10"/>
        <v>3132500</v>
      </c>
      <c r="AF13" s="139" t="s">
        <v>94</v>
      </c>
      <c r="AG13" s="139">
        <f t="shared" si="11"/>
        <v>3132500</v>
      </c>
      <c r="AH13" s="139">
        <f t="shared" si="12"/>
        <v>39060000</v>
      </c>
      <c r="AI13" s="151"/>
      <c r="AJ13" s="151"/>
      <c r="AK13" s="152"/>
      <c r="AL13" s="153"/>
    </row>
    <row r="14" spans="1:38" s="2" customFormat="1" ht="21.75" customHeight="1">
      <c r="A14" s="148" t="str">
        <f t="shared" ref="A14:A15" si="14">IF(B14&lt;&gt;"",ROW()-10,"")</f>
        <v/>
      </c>
      <c r="B14" s="17"/>
      <c r="C14" s="42"/>
      <c r="D14" s="129"/>
      <c r="E14" s="18"/>
      <c r="F14" s="18"/>
      <c r="G14" s="18"/>
      <c r="H14" s="18"/>
      <c r="I14" s="18"/>
      <c r="J14" s="18"/>
      <c r="K14" s="139">
        <f t="shared" si="0"/>
        <v>0</v>
      </c>
      <c r="L14" s="18"/>
      <c r="M14" s="139">
        <f t="shared" si="1"/>
        <v>0</v>
      </c>
      <c r="N14" s="18"/>
      <c r="O14" s="139">
        <f t="shared" si="2"/>
        <v>0</v>
      </c>
      <c r="P14" s="18"/>
      <c r="Q14" s="139">
        <f t="shared" si="3"/>
        <v>0</v>
      </c>
      <c r="R14" s="18"/>
      <c r="S14" s="139">
        <f t="shared" si="4"/>
        <v>0</v>
      </c>
      <c r="T14" s="18"/>
      <c r="U14" s="139">
        <f t="shared" si="5"/>
        <v>0</v>
      </c>
      <c r="V14" s="18"/>
      <c r="W14" s="139">
        <f t="shared" si="6"/>
        <v>0</v>
      </c>
      <c r="X14" s="18"/>
      <c r="Y14" s="139">
        <f t="shared" si="7"/>
        <v>0</v>
      </c>
      <c r="Z14" s="18"/>
      <c r="AA14" s="139">
        <f t="shared" si="8"/>
        <v>0</v>
      </c>
      <c r="AB14" s="18"/>
      <c r="AC14" s="139">
        <f t="shared" si="9"/>
        <v>0</v>
      </c>
      <c r="AD14" s="18"/>
      <c r="AE14" s="139">
        <f t="shared" si="10"/>
        <v>0</v>
      </c>
      <c r="AF14" s="18"/>
      <c r="AG14" s="139">
        <f t="shared" si="11"/>
        <v>0</v>
      </c>
      <c r="AH14" s="139">
        <f t="shared" si="12"/>
        <v>0</v>
      </c>
      <c r="AI14" s="18"/>
      <c r="AJ14" s="18"/>
      <c r="AK14" s="95"/>
      <c r="AL14" s="41"/>
    </row>
    <row r="15" spans="1:38" s="2" customFormat="1" ht="21.75" customHeight="1">
      <c r="A15" s="143" t="str">
        <f t="shared" si="14"/>
        <v/>
      </c>
      <c r="B15" s="130"/>
      <c r="C15" s="136"/>
      <c r="D15" s="135"/>
      <c r="E15" s="137"/>
      <c r="F15" s="137"/>
      <c r="G15" s="137"/>
      <c r="H15" s="137"/>
      <c r="I15" s="137"/>
      <c r="J15" s="137"/>
      <c r="K15" s="139">
        <f t="shared" si="0"/>
        <v>0</v>
      </c>
      <c r="L15" s="137"/>
      <c r="M15" s="139">
        <f t="shared" si="1"/>
        <v>0</v>
      </c>
      <c r="N15" s="137"/>
      <c r="O15" s="139">
        <f t="shared" si="2"/>
        <v>0</v>
      </c>
      <c r="P15" s="137"/>
      <c r="Q15" s="139">
        <f t="shared" si="3"/>
        <v>0</v>
      </c>
      <c r="R15" s="137"/>
      <c r="S15" s="139">
        <f t="shared" si="4"/>
        <v>0</v>
      </c>
      <c r="T15" s="137"/>
      <c r="U15" s="139">
        <f t="shared" si="5"/>
        <v>0</v>
      </c>
      <c r="V15" s="137"/>
      <c r="W15" s="139">
        <f t="shared" si="6"/>
        <v>0</v>
      </c>
      <c r="X15" s="137"/>
      <c r="Y15" s="139">
        <f t="shared" si="7"/>
        <v>0</v>
      </c>
      <c r="Z15" s="137"/>
      <c r="AA15" s="139">
        <f t="shared" si="8"/>
        <v>0</v>
      </c>
      <c r="AB15" s="137"/>
      <c r="AC15" s="139">
        <f t="shared" si="9"/>
        <v>0</v>
      </c>
      <c r="AD15" s="137"/>
      <c r="AE15" s="139">
        <f t="shared" si="10"/>
        <v>0</v>
      </c>
      <c r="AF15" s="137"/>
      <c r="AG15" s="139">
        <f t="shared" si="11"/>
        <v>0</v>
      </c>
      <c r="AH15" s="139">
        <f>K15+M15+O15+Q15+S15+U15+W15+Y15+AA15+AC15+AE15+AG15</f>
        <v>0</v>
      </c>
      <c r="AI15" s="137"/>
      <c r="AJ15" s="137"/>
      <c r="AK15" s="95"/>
      <c r="AL15" s="41"/>
    </row>
    <row r="16" spans="1:38" s="2" customFormat="1" ht="21.75" customHeight="1">
      <c r="A16" s="226" t="s">
        <v>22</v>
      </c>
      <c r="B16" s="227"/>
      <c r="C16" s="227"/>
      <c r="D16" s="140" t="s">
        <v>84</v>
      </c>
      <c r="E16" s="138">
        <f>SUM(E10:E15)</f>
        <v>14500000</v>
      </c>
      <c r="F16" s="138">
        <f>SUM(F10:F15)</f>
        <v>0</v>
      </c>
      <c r="G16" s="138"/>
      <c r="H16" s="138"/>
      <c r="I16" s="138"/>
      <c r="J16" s="138"/>
      <c r="K16" s="138">
        <f>SUMIF(J$10:J$15,"x",$E$10:$E$15)</f>
        <v>0</v>
      </c>
      <c r="L16" s="138"/>
      <c r="M16" s="138">
        <f>SUMIF(L$10:L$15,"x",$E$10:$E$15)</f>
        <v>0</v>
      </c>
      <c r="N16" s="138"/>
      <c r="O16" s="138">
        <f>SUMIF(N$10:N$15,"x",$E$10:$E$15)</f>
        <v>0</v>
      </c>
      <c r="P16" s="138"/>
      <c r="Q16" s="138">
        <f>SUMIF(P$10:P$15,"x",$E$10:$E$15)</f>
        <v>0</v>
      </c>
      <c r="R16" s="138"/>
      <c r="S16" s="138">
        <f>SUMIF(R$10:R$15,"x",$E$10:$E$15)</f>
        <v>14500000</v>
      </c>
      <c r="T16" s="138"/>
      <c r="U16" s="138">
        <f>SUMIF(T$10:T$15,"x",$E$10:$E$15)</f>
        <v>14500000</v>
      </c>
      <c r="V16" s="138"/>
      <c r="W16" s="138">
        <f>SUMIF(V$10:V$15,"x",$E$10:$E$15)</f>
        <v>14500000</v>
      </c>
      <c r="X16" s="138"/>
      <c r="Y16" s="138">
        <f>SUMIF(X$10:X$15,"x",$E$10:$E$15)</f>
        <v>14500000</v>
      </c>
      <c r="Z16" s="138"/>
      <c r="AA16" s="138">
        <f>SUMIF(Z$10:Z$15,"x",$E$10:$E$15)</f>
        <v>14500000</v>
      </c>
      <c r="AB16" s="138"/>
      <c r="AC16" s="138">
        <f>SUMIF(AB$10:AB$15,"x",$E$10:$E$15)</f>
        <v>14500000</v>
      </c>
      <c r="AD16" s="138"/>
      <c r="AE16" s="138">
        <f>SUMIF(AD$10:AD$15,"x",$E$10:$E$15)</f>
        <v>14500000</v>
      </c>
      <c r="AF16" s="138"/>
      <c r="AG16" s="138">
        <f>SUMIF(AF$10:AF$15,"x",$E$10:$E$15)</f>
        <v>14500000</v>
      </c>
      <c r="AH16" s="138">
        <f t="shared" ref="AH16:AH18" si="15">K16+M16+O16+Q16+S16+U16+W16+Y16+AA16+AC16+AE16+AG16</f>
        <v>116000000</v>
      </c>
      <c r="AI16" s="138"/>
      <c r="AJ16" s="138"/>
      <c r="AK16" s="95"/>
      <c r="AL16" s="41"/>
    </row>
    <row r="17" spans="1:38" s="2" customFormat="1" ht="21.75" customHeight="1">
      <c r="A17" s="228"/>
      <c r="B17" s="229"/>
      <c r="C17" s="229"/>
      <c r="D17" s="140" t="s">
        <v>64</v>
      </c>
      <c r="E17" s="138"/>
      <c r="F17" s="138"/>
      <c r="G17" s="138"/>
      <c r="H17" s="138"/>
      <c r="I17" s="138"/>
      <c r="J17" s="138">
        <f t="array" ref="J17">SUM((J$10:J$15="x")*1)</f>
        <v>0</v>
      </c>
      <c r="K17" s="138"/>
      <c r="L17" s="138">
        <f t="array" ref="L17">SUM((L$10:L$15="x")*1)</f>
        <v>0</v>
      </c>
      <c r="M17" s="138"/>
      <c r="N17" s="138">
        <f t="array" ref="N17">SUM((N$10:N$15="x")*1)</f>
        <v>0</v>
      </c>
      <c r="O17" s="138"/>
      <c r="P17" s="138">
        <f t="array" ref="P17">SUM((P$10:P$15="x")*1)</f>
        <v>0</v>
      </c>
      <c r="Q17" s="138"/>
      <c r="R17" s="138">
        <f t="array" ref="R17">SUM((R$10:R$15="x")*1)</f>
        <v>4</v>
      </c>
      <c r="S17" s="138"/>
      <c r="T17" s="138">
        <f t="array" ref="T17">SUM((T$10:T$15="x")*1)</f>
        <v>4</v>
      </c>
      <c r="U17" s="138"/>
      <c r="V17" s="138">
        <f t="array" ref="V17">SUM((V$10:V$15="x")*1)</f>
        <v>4</v>
      </c>
      <c r="W17" s="138"/>
      <c r="X17" s="138">
        <f t="array" ref="X17">SUM((X$10:X$15="x")*1)</f>
        <v>4</v>
      </c>
      <c r="Y17" s="138"/>
      <c r="Z17" s="138">
        <f t="array" ref="Z17">SUM((Z$10:Z$15="x")*1)</f>
        <v>4</v>
      </c>
      <c r="AA17" s="138"/>
      <c r="AB17" s="138">
        <f t="array" ref="AB17">SUM((AB$10:AB$15="x")*1)</f>
        <v>4</v>
      </c>
      <c r="AC17" s="138"/>
      <c r="AD17" s="138">
        <f t="array" ref="AD17">SUM((AD$10:AD$15="x")*1)</f>
        <v>4</v>
      </c>
      <c r="AE17" s="138"/>
      <c r="AF17" s="138">
        <f t="array" ref="AF17">SUM((AF$10:AF$15="x")*1)</f>
        <v>4</v>
      </c>
      <c r="AG17" s="138"/>
      <c r="AH17" s="138"/>
      <c r="AI17" s="138"/>
      <c r="AJ17" s="138"/>
      <c r="AK17" s="95"/>
      <c r="AL17" s="41"/>
    </row>
    <row r="18" spans="1:38" s="2" customFormat="1" ht="21.75" customHeight="1">
      <c r="A18" s="230"/>
      <c r="B18" s="231"/>
      <c r="C18" s="231"/>
      <c r="D18" s="140" t="s">
        <v>65</v>
      </c>
      <c r="E18" s="138"/>
      <c r="F18" s="138"/>
      <c r="G18" s="138"/>
      <c r="H18" s="138"/>
      <c r="I18" s="138"/>
      <c r="J18" s="138"/>
      <c r="K18" s="138">
        <f>SUM(K10:K15)</f>
        <v>14500000</v>
      </c>
      <c r="L18" s="138"/>
      <c r="M18" s="138">
        <f>SUM(M10:M15)</f>
        <v>14500000</v>
      </c>
      <c r="N18" s="138"/>
      <c r="O18" s="138">
        <f t="shared" ref="O18:AG18" si="16">SUM(O10:O15)</f>
        <v>14500000</v>
      </c>
      <c r="P18" s="138"/>
      <c r="Q18" s="138">
        <f t="shared" si="16"/>
        <v>14500000</v>
      </c>
      <c r="R18" s="138"/>
      <c r="S18" s="138">
        <f t="shared" si="16"/>
        <v>12977500</v>
      </c>
      <c r="T18" s="138"/>
      <c r="U18" s="138">
        <f t="shared" si="16"/>
        <v>12977500</v>
      </c>
      <c r="V18" s="138"/>
      <c r="W18" s="138">
        <f t="shared" si="16"/>
        <v>12977500</v>
      </c>
      <c r="X18" s="138"/>
      <c r="Y18" s="138">
        <f t="shared" si="16"/>
        <v>12977500</v>
      </c>
      <c r="Z18" s="138"/>
      <c r="AA18" s="138">
        <f t="shared" si="16"/>
        <v>12977500</v>
      </c>
      <c r="AB18" s="138"/>
      <c r="AC18" s="138">
        <f t="shared" si="16"/>
        <v>12977500</v>
      </c>
      <c r="AD18" s="138"/>
      <c r="AE18" s="138">
        <f t="shared" si="16"/>
        <v>12977500</v>
      </c>
      <c r="AF18" s="138"/>
      <c r="AG18" s="138">
        <f t="shared" si="16"/>
        <v>12977500</v>
      </c>
      <c r="AH18" s="138">
        <f t="shared" si="15"/>
        <v>161820000</v>
      </c>
      <c r="AI18" s="138"/>
      <c r="AJ18" s="138"/>
      <c r="AK18" s="95"/>
      <c r="AL18" s="41"/>
    </row>
    <row r="19" spans="1:38" s="2" customFormat="1" ht="11.25" customHeight="1">
      <c r="A19" s="19"/>
      <c r="B19" s="19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41"/>
      <c r="AL19" s="41"/>
    </row>
  </sheetData>
  <protectedRanges>
    <protectedRange password="CC78" sqref="B7:D8 AI7:AI8 J16:AG18 AK7:JS11 F7:H7 C14:H18 J11 C20:JS65163 AI11:AJ11 AH14 B19:B65163 B9:AJ9 J14:J15 L14:L15 L11 N14:N15 N11 P14:P15 P11 AF14:AG15 AH15:JS18 A7:A65163 O11:O15 M11:M15 K11:K15 AG11:AH13 AI12:JS14 Q11:S15 T10:AE15 AG10:AJ10 AF10:AF13 J10:S10" name="Range1"/>
    <protectedRange password="CC78" sqref="O4:JS6 A6:N6 B4:N5" name="Range1_2"/>
    <protectedRange password="CC78" sqref="I7:AH8 I10:I18" name="Range1_3"/>
    <protectedRange password="CC78" sqref="B14:B18" name="Range1_1"/>
    <protectedRange password="CC78" sqref="E7:E8 F8" name="Range1_4"/>
    <protectedRange password="CC78" sqref="AG14:AG15 AE14:AE15 AC14:AC15 Y14:Y15 AA14:AA15 W14:W15 U14:U15 K14:K15 M14:M15 O14:O15 Q14:Q15 S14:S15 J10:AG13" name="Range1_11"/>
    <protectedRange password="CC78" sqref="B13" name="Range1_6_1"/>
    <protectedRange password="CC78" sqref="F10:F13" name="Range1_8"/>
    <protectedRange password="CC78" sqref="H12" name="Range1_3_2"/>
    <protectedRange password="CC78" sqref="G11:G13" name="Range1_11_1"/>
    <protectedRange password="CC78" sqref="H10" name="Range1_6"/>
    <protectedRange password="CC78" sqref="H10" name="Range1_11_2"/>
    <protectedRange password="CC78" sqref="G10" name="Range1_8_1"/>
    <protectedRange password="CC78" sqref="H13 H11" name="Range1_3_3"/>
    <protectedRange password="CC78" sqref="D10:D13" name="Range1_7_1"/>
    <protectedRange password="CC78" sqref="E10:E13" name="Range1_12_12"/>
  </protectedRanges>
  <autoFilter ref="A9:AL13"/>
  <mergeCells count="22">
    <mergeCell ref="A16:C18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  <mergeCell ref="AF7:AG7"/>
    <mergeCell ref="V7:W7"/>
    <mergeCell ref="X7:Y7"/>
    <mergeCell ref="Z7:AA7"/>
    <mergeCell ref="AB7:AC7"/>
    <mergeCell ref="AD7:AE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9" sqref="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01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42370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42370</v>
      </c>
      <c r="G5" s="106">
        <f t="shared" ref="G5:AJ5" si="0">F5+1</f>
        <v>42371</v>
      </c>
      <c r="H5" s="106">
        <f t="shared" si="0"/>
        <v>42372</v>
      </c>
      <c r="I5" s="106">
        <f t="shared" si="0"/>
        <v>42373</v>
      </c>
      <c r="J5" s="106">
        <f t="shared" si="0"/>
        <v>42374</v>
      </c>
      <c r="K5" s="106">
        <f t="shared" si="0"/>
        <v>42375</v>
      </c>
      <c r="L5" s="106">
        <f t="shared" si="0"/>
        <v>42376</v>
      </c>
      <c r="M5" s="106">
        <f t="shared" si="0"/>
        <v>42377</v>
      </c>
      <c r="N5" s="106">
        <f t="shared" si="0"/>
        <v>42378</v>
      </c>
      <c r="O5" s="106">
        <f t="shared" si="0"/>
        <v>42379</v>
      </c>
      <c r="P5" s="106">
        <f t="shared" si="0"/>
        <v>42380</v>
      </c>
      <c r="Q5" s="106">
        <f t="shared" si="0"/>
        <v>42381</v>
      </c>
      <c r="R5" s="106">
        <f t="shared" si="0"/>
        <v>42382</v>
      </c>
      <c r="S5" s="106">
        <f t="shared" si="0"/>
        <v>42383</v>
      </c>
      <c r="T5" s="106">
        <f t="shared" si="0"/>
        <v>42384</v>
      </c>
      <c r="U5" s="106">
        <f t="shared" si="0"/>
        <v>42385</v>
      </c>
      <c r="V5" s="106">
        <f t="shared" si="0"/>
        <v>42386</v>
      </c>
      <c r="W5" s="106">
        <f t="shared" si="0"/>
        <v>42387</v>
      </c>
      <c r="X5" s="106">
        <f t="shared" si="0"/>
        <v>42388</v>
      </c>
      <c r="Y5" s="106">
        <f t="shared" si="0"/>
        <v>42389</v>
      </c>
      <c r="Z5" s="106">
        <f t="shared" si="0"/>
        <v>42390</v>
      </c>
      <c r="AA5" s="106">
        <f t="shared" si="0"/>
        <v>42391</v>
      </c>
      <c r="AB5" s="106">
        <f t="shared" si="0"/>
        <v>42392</v>
      </c>
      <c r="AC5" s="106">
        <f t="shared" si="0"/>
        <v>42393</v>
      </c>
      <c r="AD5" s="106">
        <f t="shared" si="0"/>
        <v>42394</v>
      </c>
      <c r="AE5" s="106">
        <f t="shared" si="0"/>
        <v>42395</v>
      </c>
      <c r="AF5" s="106">
        <f t="shared" si="0"/>
        <v>42396</v>
      </c>
      <c r="AG5" s="106">
        <f t="shared" si="0"/>
        <v>42397</v>
      </c>
      <c r="AH5" s="106">
        <f>AG5+1</f>
        <v>42398</v>
      </c>
      <c r="AI5" s="106">
        <f t="shared" si="0"/>
        <v>42399</v>
      </c>
      <c r="AJ5" s="106">
        <f t="shared" si="0"/>
        <v>42400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/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5">
        <f t="shared" ref="AK9" si="2">((SUM(F9:AJ9))/8)-(SUMIF($F$6:$AJ$6,"C.Nhật",F9:AJ9)/8)</f>
        <v>25</v>
      </c>
      <c r="AL9" s="245">
        <f t="shared" ref="AL9" si="3">SUM(F10:AJ10)/8*1.5</f>
        <v>0</v>
      </c>
      <c r="AM9" s="247">
        <f t="shared" ref="AM9:AM13" si="4">SUMIF($F$6:$AJ$6,"C.Nhật",$F9:$AJ10)/8*2</f>
        <v>0</v>
      </c>
      <c r="AN9" s="237">
        <f t="shared" ref="AN9" si="5">SUM(AK9:AM10)</f>
        <v>25</v>
      </c>
      <c r="AO9" s="249">
        <v>0</v>
      </c>
      <c r="AP9" s="237"/>
      <c r="AQ9" s="237"/>
      <c r="AR9" s="237"/>
      <c r="AS9" s="239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/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5">
        <f t="shared" ref="AK11" si="6">((SUM(F11:AJ11))/8)-(SUMIF($F$6:$AJ$6,"C.Nhật",F11:AJ11)/8)</f>
        <v>25</v>
      </c>
      <c r="AL11" s="245">
        <f t="shared" ref="AL11" si="7">SUM(F12:AJ12)/8*1.5</f>
        <v>0</v>
      </c>
      <c r="AM11" s="247">
        <f t="shared" si="4"/>
        <v>0</v>
      </c>
      <c r="AN11" s="237">
        <f t="shared" ref="AN11" si="8">SUM(AK11:AM12)</f>
        <v>25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/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45">
        <f t="shared" ref="AK13" si="9">((SUM(F13:AJ13))/8)-(SUMIF($F$6:$AJ$6,"C.Nhật",F13:AJ13)/8)</f>
        <v>25</v>
      </c>
      <c r="AL13" s="245">
        <f t="shared" ref="AL13" si="10">SUM(F14:AJ14)/8*1.5</f>
        <v>0</v>
      </c>
      <c r="AM13" s="247">
        <f t="shared" si="4"/>
        <v>0</v>
      </c>
      <c r="AN13" s="237">
        <f t="shared" ref="AN13" si="11">SUM(AK13:AM14)</f>
        <v>25</v>
      </c>
      <c r="AO13" s="249">
        <v>0</v>
      </c>
      <c r="AP13" s="237"/>
      <c r="AQ13" s="237"/>
      <c r="AR13" s="237"/>
      <c r="AS13" s="239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/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45">
        <f t="shared" ref="AK16" si="12">((SUM(F16:AJ16))/8)-(SUMIF($F$6:$AJ$6,"C.Nhật",F16:AJ16)/8)</f>
        <v>25</v>
      </c>
      <c r="AL16" s="245">
        <f t="shared" ref="AL16" si="13">SUM(F17:AJ17)/8*1.5</f>
        <v>0</v>
      </c>
      <c r="AM16" s="247">
        <f>SUMIF($F$6:$AJ$6,"C.Nhật",$F16:$AJ17)/8*2</f>
        <v>0</v>
      </c>
      <c r="AN16" s="237">
        <f>SUM(AK16:AM17)</f>
        <v>25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1:AM12"/>
    <mergeCell ref="AN11:AN12"/>
    <mergeCell ref="AO11:AO12"/>
    <mergeCell ref="AP11:AP12"/>
    <mergeCell ref="AQ11:AQ12"/>
    <mergeCell ref="AR11:AR12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B13:B14"/>
    <mergeCell ref="C13:C14"/>
    <mergeCell ref="D13:D14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13:AM14"/>
    <mergeCell ref="AN13:AN14"/>
    <mergeCell ref="AO13:AO14"/>
    <mergeCell ref="AP13:AP14"/>
    <mergeCell ref="AK13:AK14"/>
    <mergeCell ref="A13:A14"/>
    <mergeCell ref="A11:A12"/>
    <mergeCell ref="B11:B12"/>
    <mergeCell ref="C11:C12"/>
    <mergeCell ref="AL13:AL14"/>
    <mergeCell ref="D11:D12"/>
    <mergeCell ref="AK11:AK12"/>
    <mergeCell ref="AL11:AL12"/>
    <mergeCell ref="AP16:AP17"/>
    <mergeCell ref="AQ16:AQ17"/>
    <mergeCell ref="AR16:AR17"/>
    <mergeCell ref="AS16:AS17"/>
    <mergeCell ref="AS11:AS12"/>
    <mergeCell ref="AS13:AS14"/>
    <mergeCell ref="AQ13:AQ14"/>
    <mergeCell ref="AR13:AR14"/>
  </mergeCells>
  <conditionalFormatting sqref="F5:AJ6 H9:AJ10 H13:AJ14 F9:G9 F13:G13">
    <cfRule type="expression" dxfId="90" priority="47" stopIfTrue="1">
      <formula>IF(WEEKDAY(F$5)=1,TRUE,FALSE)</formula>
    </cfRule>
  </conditionalFormatting>
  <conditionalFormatting sqref="H9:AJ10 H13:AJ14 F9:G9 F13:G13">
    <cfRule type="expression" dxfId="89" priority="46" stopIfTrue="1">
      <formula>IF(WEEKDAY(F$5)=1,TRUE,FALSE)</formula>
    </cfRule>
  </conditionalFormatting>
  <conditionalFormatting sqref="F10:G10 F14:G14">
    <cfRule type="expression" dxfId="88" priority="44" stopIfTrue="1">
      <formula>IF(WEEKDAY(F$5)=1,TRUE,FALSE)</formula>
    </cfRule>
  </conditionalFormatting>
  <conditionalFormatting sqref="F10:G10 F14:G14">
    <cfRule type="expression" dxfId="87" priority="43" stopIfTrue="1">
      <formula>IF(WEEKDAY(F$5)=1,TRUE,FALSE)</formula>
    </cfRule>
  </conditionalFormatting>
  <conditionalFormatting sqref="H16:AJ17 F16:G16">
    <cfRule type="expression" dxfId="86" priority="12" stopIfTrue="1">
      <formula>IF(WEEKDAY(F$5)=1,TRUE,FALSE)</formula>
    </cfRule>
  </conditionalFormatting>
  <conditionalFormatting sqref="H16:AJ17 F16:G16">
    <cfRule type="expression" dxfId="85" priority="11" stopIfTrue="1">
      <formula>IF(WEEKDAY(F$5)=1,TRUE,FALSE)</formula>
    </cfRule>
  </conditionalFormatting>
  <conditionalFormatting sqref="F17:G17">
    <cfRule type="expression" dxfId="84" priority="10" stopIfTrue="1">
      <formula>IF(WEEKDAY(F$5)=1,TRUE,FALSE)</formula>
    </cfRule>
  </conditionalFormatting>
  <conditionalFormatting sqref="F17:G17">
    <cfRule type="expression" dxfId="83" priority="9" stopIfTrue="1">
      <formula>IF(WEEKDAY(F$5)=1,TRUE,FALSE)</formula>
    </cfRule>
  </conditionalFormatting>
  <conditionalFormatting sqref="H11:AJ12 F11:G11">
    <cfRule type="expression" dxfId="82" priority="4" stopIfTrue="1">
      <formula>IF(WEEKDAY(F$5)=1,TRUE,FALSE)</formula>
    </cfRule>
  </conditionalFormatting>
  <conditionalFormatting sqref="H11:AJ12 F11:G11">
    <cfRule type="expression" dxfId="81" priority="3" stopIfTrue="1">
      <formula>IF(WEEKDAY(F$5)=1,TRUE,FALSE)</formula>
    </cfRule>
  </conditionalFormatting>
  <conditionalFormatting sqref="F12:G12">
    <cfRule type="expression" dxfId="80" priority="2" stopIfTrue="1">
      <formula>IF(WEEKDAY(F$5)=1,TRUE,FALSE)</formula>
    </cfRule>
  </conditionalFormatting>
  <conditionalFormatting sqref="F12:G12">
    <cfRule type="expression" dxfId="7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topLeftCell="C4" zoomScaleNormal="70" workbookViewId="0">
      <selection activeCell="C8" sqref="C8:R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5" t="str">
        <f>"BẢNG THANH TOÁN LƯƠNG THÁNG"&amp;" "&amp;TEXT($E$4,"mm")&amp;" / "&amp;TEXT($E$4,"yyyy")</f>
        <v>BẢNG THANH TOÁN LƯƠNG THÁNG 01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-1'!$E$4</f>
        <v>42370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203" t="s">
        <v>33</v>
      </c>
      <c r="G7" s="201" t="s">
        <v>17</v>
      </c>
      <c r="H7" s="203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-1'!$B$9:$AS$18,36,0)</f>
        <v>25</v>
      </c>
      <c r="G10" s="133">
        <f>ROUND(E10/$S$2*F10,0)</f>
        <v>3750000</v>
      </c>
      <c r="H10" s="81">
        <f>(VLOOKUP(B10,'CC -1'!$B$9:$AS$18,37,0)+VLOOKUP(B10,'CC -1'!$B$9:$AS$18,38,0))</f>
        <v>0</v>
      </c>
      <c r="I10" s="133">
        <f>ROUND(E10/$S$2*H10,0)</f>
        <v>0</v>
      </c>
      <c r="J10" s="82">
        <f t="shared" ref="J10:K10" si="3">F10+H10</f>
        <v>25</v>
      </c>
      <c r="K10" s="33">
        <f t="shared" si="3"/>
        <v>3750000</v>
      </c>
      <c r="L10" s="34">
        <f t="shared" ref="L10:N12" si="4">IF(VLOOKUP($B10,DS,9,0)="x",$E10*L$4,0)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" si="5">VLOOKUP(B11,DS,2,0)</f>
        <v>Mai Thị Hường</v>
      </c>
      <c r="D11" s="104" t="str">
        <f t="shared" ref="D11" si="6">VLOOKUP(B11,DS,3,0)</f>
        <v>Kế Toán</v>
      </c>
      <c r="E11" s="79">
        <f t="shared" ref="E11" si="7">VLOOKUP(B11,DS,4,0)</f>
        <v>3750000</v>
      </c>
      <c r="F11" s="81">
        <f>VLOOKUP(B11,'CC -1'!$B$9:$AS$18,36,0)</f>
        <v>25</v>
      </c>
      <c r="G11" s="133">
        <f>ROUND(E11/$S$2*F11,0)</f>
        <v>3750000</v>
      </c>
      <c r="H11" s="81">
        <f>(VLOOKUP(B11,'CC -1'!$B$9:$AS$18,37,0)+VLOOKUP(B11,'CC -1'!$B$9:$AS$18,38,0))</f>
        <v>0</v>
      </c>
      <c r="I11" s="133">
        <f>ROUND(E11/$S$2*H11,0)</f>
        <v>0</v>
      </c>
      <c r="J11" s="82">
        <f t="shared" ref="J11" si="8">F11+H11</f>
        <v>25</v>
      </c>
      <c r="K11" s="33">
        <f t="shared" ref="K11" si="9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>K11-SUM(L11:N11)</f>
        <v>3750000</v>
      </c>
      <c r="P11" s="33"/>
      <c r="Q11" s="39">
        <f t="shared" ref="Q11" si="10">O11-P11</f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11">VLOOKUP(B12,DS,2,0)</f>
        <v>Đào Quảng Ninh</v>
      </c>
      <c r="D12" s="104" t="str">
        <f t="shared" ref="D12" si="12">VLOOKUP(B12,DS,3,0)</f>
        <v>Giao Hàng</v>
      </c>
      <c r="E12" s="79">
        <f t="shared" ref="E12" si="13">VLOOKUP(B12,DS,4,0)</f>
        <v>3500000</v>
      </c>
      <c r="F12" s="81">
        <f>VLOOKUP(B12,'CC -1'!$B$9:$AS$18,36,0)</f>
        <v>25</v>
      </c>
      <c r="G12" s="133">
        <f>ROUND(E12/$S$2*F12,0)</f>
        <v>3500000</v>
      </c>
      <c r="H12" s="81">
        <f>(VLOOKUP(B12,'CC -1'!$B$9:$AS$18,37,0)+VLOOKUP(B12,'CC -1'!$B$9:$AS$18,38,0))</f>
        <v>0</v>
      </c>
      <c r="I12" s="133">
        <f>ROUND(E12/$S$2*H12,0)</f>
        <v>0</v>
      </c>
      <c r="J12" s="82">
        <f t="shared" ref="J12" si="14">F12+H12</f>
        <v>25</v>
      </c>
      <c r="K12" s="33">
        <f t="shared" ref="K12" si="15">G12+I12</f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>K12-SUM(L12:N12)</f>
        <v>3500000</v>
      </c>
      <c r="P12" s="33"/>
      <c r="Q12" s="39">
        <f t="shared" ref="Q12" si="16">O12-P12</f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SUM(E9:E13)</f>
        <v>11000000</v>
      </c>
      <c r="F14" s="128"/>
      <c r="G14" s="128">
        <f>SUM(G9:G13)</f>
        <v>11000000</v>
      </c>
      <c r="H14" s="128"/>
      <c r="I14" s="128">
        <f>SUM(I9:I13)</f>
        <v>0</v>
      </c>
      <c r="J14" s="128"/>
      <c r="K14" s="128">
        <f t="shared" ref="K14:O14" si="17">SUM(K9:K13)</f>
        <v>11000000</v>
      </c>
      <c r="L14" s="128">
        <f t="shared" si="17"/>
        <v>0</v>
      </c>
      <c r="M14" s="128">
        <f t="shared" si="17"/>
        <v>0</v>
      </c>
      <c r="N14" s="128">
        <f t="shared" si="17"/>
        <v>0</v>
      </c>
      <c r="O14" s="128">
        <f t="shared" si="17"/>
        <v>11000000</v>
      </c>
      <c r="P14" s="128"/>
      <c r="Q14" s="128">
        <f>SUM(Q9:Q13)</f>
        <v>11000000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8">VLOOKUP(B16,DS,2,0)</f>
        <v>Thạch Huy Chạch</v>
      </c>
      <c r="D16" s="104" t="str">
        <f t="shared" ref="D16" si="19">VLOOKUP(B16,DS,3,0)</f>
        <v>Công nhân</v>
      </c>
      <c r="E16" s="79">
        <f t="shared" ref="E16" si="20">VLOOKUP(B16,DS,4,0)</f>
        <v>3500000</v>
      </c>
      <c r="F16" s="81">
        <f>VLOOKUP(B16,'CC -1'!$B$9:$AS$18,36,0)</f>
        <v>25</v>
      </c>
      <c r="G16" s="133">
        <f>ROUND(E16/$S$2*F16,0)</f>
        <v>3500000</v>
      </c>
      <c r="H16" s="81">
        <f>(VLOOKUP(B16,'CC -1'!$B$9:$AS$18,37,0)+VLOOKUP(B16,'CC -1'!$B$9:$AS$18,38,0))</f>
        <v>0</v>
      </c>
      <c r="I16" s="133">
        <f>ROUND(E16/$S$2*H16,0)</f>
        <v>0</v>
      </c>
      <c r="J16" s="134">
        <f t="shared" ref="J16" si="21">F16+H16</f>
        <v>25</v>
      </c>
      <c r="K16" s="33">
        <f t="shared" ref="K16" si="22">G16+I16</f>
        <v>3500000</v>
      </c>
      <c r="L16" s="34">
        <f t="shared" ref="L16:N16" si="23">IF(VLOOKUP($B16,DS,9,0)="x",$E16*L$4,0)</f>
        <v>0</v>
      </c>
      <c r="M16" s="34">
        <f t="shared" si="23"/>
        <v>0</v>
      </c>
      <c r="N16" s="34">
        <f t="shared" si="23"/>
        <v>0</v>
      </c>
      <c r="O16" s="33">
        <f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>SUM(K15:K17)</f>
        <v>3500000</v>
      </c>
      <c r="L18" s="128">
        <f>SUM(L15:L17)</f>
        <v>0</v>
      </c>
      <c r="M18" s="128">
        <f>SUM(M15:M17)</f>
        <v>0</v>
      </c>
      <c r="N18" s="128">
        <f>SUM(N15:N17)</f>
        <v>0</v>
      </c>
      <c r="O18" s="128">
        <f>SUM(O15:O17)</f>
        <v>3500000</v>
      </c>
      <c r="P18" s="128"/>
      <c r="Q18" s="128">
        <f>SUM(Q15:Q17)</f>
        <v>3500000</v>
      </c>
      <c r="R18" s="21"/>
      <c r="S18" s="205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01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L24:R57 S30:S57 J17:Q17 T24:II57 L58:II65325 AD15:II15 T14:II14 AD5:II13 U10:U13 A10:B14 O16 O10:Q13 A24:K65325 D18:R18 D14:R14 J6:K7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4" width="3.42578125" style="112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02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44"/>
      <c r="AJ1" s="44"/>
      <c r="AK1" s="251" t="s">
        <v>76</v>
      </c>
      <c r="AL1" s="252"/>
      <c r="AM1" s="252"/>
      <c r="AN1" s="252"/>
      <c r="AO1" s="252"/>
      <c r="AP1" s="252"/>
      <c r="AQ1" s="253"/>
      <c r="AR1" s="46"/>
    </row>
    <row r="2" spans="1:89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2"/>
      <c r="D4" s="141"/>
      <c r="E4" s="53">
        <v>42401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42401</v>
      </c>
      <c r="G5" s="106">
        <f t="shared" ref="G5:AG5" si="0">F5+1</f>
        <v>42402</v>
      </c>
      <c r="H5" s="106">
        <f t="shared" si="0"/>
        <v>42403</v>
      </c>
      <c r="I5" s="106">
        <f t="shared" si="0"/>
        <v>42404</v>
      </c>
      <c r="J5" s="106">
        <f t="shared" si="0"/>
        <v>42405</v>
      </c>
      <c r="K5" s="106">
        <f t="shared" si="0"/>
        <v>42406</v>
      </c>
      <c r="L5" s="106">
        <f t="shared" si="0"/>
        <v>42407</v>
      </c>
      <c r="M5" s="106">
        <f t="shared" si="0"/>
        <v>42408</v>
      </c>
      <c r="N5" s="106">
        <f t="shared" si="0"/>
        <v>42409</v>
      </c>
      <c r="O5" s="106">
        <f t="shared" si="0"/>
        <v>42410</v>
      </c>
      <c r="P5" s="106">
        <f t="shared" si="0"/>
        <v>42411</v>
      </c>
      <c r="Q5" s="106">
        <f t="shared" si="0"/>
        <v>42412</v>
      </c>
      <c r="R5" s="106">
        <f t="shared" si="0"/>
        <v>42413</v>
      </c>
      <c r="S5" s="106">
        <f t="shared" si="0"/>
        <v>42414</v>
      </c>
      <c r="T5" s="106">
        <f t="shared" si="0"/>
        <v>42415</v>
      </c>
      <c r="U5" s="106">
        <f t="shared" si="0"/>
        <v>42416</v>
      </c>
      <c r="V5" s="106">
        <f t="shared" si="0"/>
        <v>42417</v>
      </c>
      <c r="W5" s="106">
        <f t="shared" si="0"/>
        <v>42418</v>
      </c>
      <c r="X5" s="106">
        <f t="shared" si="0"/>
        <v>42419</v>
      </c>
      <c r="Y5" s="106">
        <f t="shared" si="0"/>
        <v>42420</v>
      </c>
      <c r="Z5" s="106">
        <f t="shared" si="0"/>
        <v>42421</v>
      </c>
      <c r="AA5" s="106">
        <f t="shared" si="0"/>
        <v>42422</v>
      </c>
      <c r="AB5" s="106">
        <f t="shared" si="0"/>
        <v>42423</v>
      </c>
      <c r="AC5" s="106">
        <f t="shared" si="0"/>
        <v>42424</v>
      </c>
      <c r="AD5" s="106">
        <f t="shared" si="0"/>
        <v>42425</v>
      </c>
      <c r="AE5" s="106">
        <f t="shared" si="0"/>
        <v>42426</v>
      </c>
      <c r="AF5" s="106">
        <f t="shared" si="0"/>
        <v>42427</v>
      </c>
      <c r="AG5" s="106">
        <f t="shared" si="0"/>
        <v>42428</v>
      </c>
      <c r="AH5" s="106">
        <f>AG5+1</f>
        <v>42429</v>
      </c>
      <c r="AI5" s="257" t="s">
        <v>14</v>
      </c>
      <c r="AJ5" s="258"/>
      <c r="AK5" s="259"/>
      <c r="AL5" s="260" t="s">
        <v>38</v>
      </c>
      <c r="AM5" s="260" t="s">
        <v>34</v>
      </c>
      <c r="AN5" s="260" t="s">
        <v>35</v>
      </c>
      <c r="AO5" s="260" t="s">
        <v>36</v>
      </c>
      <c r="AP5" s="260" t="s">
        <v>37</v>
      </c>
      <c r="AQ5" s="256" t="s">
        <v>0</v>
      </c>
      <c r="AR5" s="26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T.Hai</v>
      </c>
      <c r="G6" s="158" t="str">
        <f t="shared" ref="G6:AH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9" t="s">
        <v>15</v>
      </c>
      <c r="AJ6" s="159" t="s">
        <v>28</v>
      </c>
      <c r="AK6" s="160" t="s">
        <v>16</v>
      </c>
      <c r="AL6" s="261"/>
      <c r="AM6" s="261"/>
      <c r="AN6" s="261"/>
      <c r="AO6" s="261"/>
      <c r="AP6" s="261"/>
      <c r="AQ6" s="255"/>
      <c r="AR6" s="26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20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7"/>
      <c r="AR8" s="163"/>
    </row>
    <row r="9" spans="1:89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/>
      <c r="N9" s="131"/>
      <c r="O9" s="131"/>
      <c r="P9" s="131"/>
      <c r="Q9" s="131"/>
      <c r="R9" s="131"/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245">
        <f>((SUM(F9:AH9))/8)-(SUMIF($F$6:$AH$6,"C.Nhật",F9:AH9)/8)</f>
        <v>19</v>
      </c>
      <c r="AJ9" s="245">
        <f>SUM(F10:AH10)/8*1.5</f>
        <v>0</v>
      </c>
      <c r="AK9" s="247">
        <f>SUMIF($F$6:$AH$6,"C.Nhật",$F9:$AH10)/8*2</f>
        <v>0</v>
      </c>
      <c r="AL9" s="237">
        <f>SUM(AI9:AK10)</f>
        <v>19</v>
      </c>
      <c r="AM9" s="249">
        <v>0</v>
      </c>
      <c r="AN9" s="237"/>
      <c r="AO9" s="237"/>
      <c r="AP9" s="237"/>
      <c r="AQ9" s="239"/>
      <c r="AR9" s="20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46"/>
      <c r="AJ10" s="246"/>
      <c r="AK10" s="248"/>
      <c r="AL10" s="238"/>
      <c r="AM10" s="250"/>
      <c r="AN10" s="238"/>
      <c r="AO10" s="238"/>
      <c r="AP10" s="238"/>
      <c r="AQ10" s="240"/>
      <c r="AR10" s="20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/>
      <c r="N11" s="131"/>
      <c r="O11" s="131"/>
      <c r="P11" s="131"/>
      <c r="Q11" s="131"/>
      <c r="R11" s="131"/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245">
        <f>((SUM(F11:AH11))/8)-(SUMIF($F$6:$AH$6,"C.Nhật",F11:AH11)/8)</f>
        <v>19</v>
      </c>
      <c r="AJ11" s="245">
        <f>SUM(F12:AH12)/8*1.5</f>
        <v>0</v>
      </c>
      <c r="AK11" s="247">
        <f>SUMIF($F$6:$AH$6,"C.Nhật",$F11:$AH12)/8*2</f>
        <v>0</v>
      </c>
      <c r="AL11" s="237">
        <f t="shared" ref="AL11" si="2">SUM(AI11:AK12)</f>
        <v>19</v>
      </c>
      <c r="AM11" s="249">
        <v>0</v>
      </c>
      <c r="AN11" s="237"/>
      <c r="AO11" s="237"/>
      <c r="AP11" s="237"/>
      <c r="AQ11" s="239"/>
      <c r="AR11" s="21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246"/>
      <c r="AJ12" s="246"/>
      <c r="AK12" s="248"/>
      <c r="AL12" s="238"/>
      <c r="AM12" s="250"/>
      <c r="AN12" s="238"/>
      <c r="AO12" s="238"/>
      <c r="AP12" s="238"/>
      <c r="AQ12" s="240"/>
      <c r="AR12" s="21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/>
      <c r="M13" s="131"/>
      <c r="N13" s="131"/>
      <c r="O13" s="131"/>
      <c r="P13" s="131"/>
      <c r="Q13" s="131"/>
      <c r="R13" s="131"/>
      <c r="S13" s="131"/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/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/>
      <c r="AH13" s="131">
        <v>8</v>
      </c>
      <c r="AI13" s="245">
        <f>((SUM(F13:AH13))/8)-(SUMIF($F$6:$AH$6,"C.Nhật",F13:AH13)/8)</f>
        <v>19</v>
      </c>
      <c r="AJ13" s="245">
        <f>SUM(F14:AH14)/8*1.5</f>
        <v>0</v>
      </c>
      <c r="AK13" s="247">
        <f>SUMIF($F$6:$AH$6,"C.Nhật",$F13:$AH14)/8*2</f>
        <v>0</v>
      </c>
      <c r="AL13" s="237">
        <f t="shared" ref="AL13" si="3">SUM(AI13:AK14)</f>
        <v>19</v>
      </c>
      <c r="AM13" s="249">
        <v>0</v>
      </c>
      <c r="AN13" s="237"/>
      <c r="AO13" s="237"/>
      <c r="AP13" s="237"/>
      <c r="AQ13" s="239"/>
      <c r="AR13" s="209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246"/>
      <c r="AJ14" s="246"/>
      <c r="AK14" s="248"/>
      <c r="AL14" s="238"/>
      <c r="AM14" s="250"/>
      <c r="AN14" s="238"/>
      <c r="AO14" s="238"/>
      <c r="AP14" s="238"/>
      <c r="AQ14" s="240"/>
      <c r="AR14" s="20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7"/>
      <c r="AR15" s="163"/>
    </row>
    <row r="16" spans="1:89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/>
      <c r="M16" s="131"/>
      <c r="N16" s="131"/>
      <c r="O16" s="131"/>
      <c r="P16" s="131"/>
      <c r="Q16" s="131"/>
      <c r="R16" s="131"/>
      <c r="S16" s="131"/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/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/>
      <c r="AH16" s="131">
        <v>8</v>
      </c>
      <c r="AI16" s="245">
        <f>((SUM(F16:AH16))/8)-(SUMIF($F$6:$AH$6,"C.Nhật",F16:AH16)/8)</f>
        <v>19</v>
      </c>
      <c r="AJ16" s="245">
        <f>SUM(F17:AH17)/8*1.5</f>
        <v>0</v>
      </c>
      <c r="AK16" s="247">
        <f>SUMIF($F$6:$AH$6,"C.Nhật",$F16:$AH17)/8*2</f>
        <v>0</v>
      </c>
      <c r="AL16" s="237">
        <f>SUM(AI16:AK17)</f>
        <v>19</v>
      </c>
      <c r="AM16" s="249">
        <v>0</v>
      </c>
      <c r="AN16" s="237"/>
      <c r="AO16" s="237"/>
      <c r="AP16" s="237"/>
      <c r="AQ16" s="239"/>
      <c r="AR16" s="20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246"/>
      <c r="AJ17" s="246"/>
      <c r="AK17" s="248"/>
      <c r="AL17" s="238"/>
      <c r="AM17" s="250"/>
      <c r="AN17" s="238"/>
      <c r="AO17" s="238"/>
      <c r="AP17" s="238"/>
      <c r="AQ17" s="240"/>
      <c r="AR17" s="20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4"/>
      <c r="AJ18" s="4"/>
      <c r="AK18" s="87"/>
      <c r="AL18" s="63"/>
      <c r="AM18" s="63"/>
      <c r="AN18" s="63"/>
      <c r="AO18" s="63"/>
      <c r="AP18" s="63"/>
      <c r="AQ18" s="4"/>
      <c r="AR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4"/>
      <c r="AJ19" s="4"/>
      <c r="AK19" s="87"/>
      <c r="AL19" s="63"/>
      <c r="AM19" s="63"/>
      <c r="AN19" s="63"/>
      <c r="AO19" s="63"/>
      <c r="AP19" s="63"/>
      <c r="AQ19" s="4"/>
      <c r="AR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4"/>
      <c r="AJ20" s="4"/>
      <c r="AK20" s="87"/>
      <c r="AL20" s="65"/>
      <c r="AM20" s="65"/>
      <c r="AN20" s="65"/>
      <c r="AO20" s="65"/>
      <c r="AP20" s="65"/>
      <c r="AQ20" s="4"/>
      <c r="AR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4"/>
      <c r="AJ21" s="4"/>
      <c r="AK21" s="87"/>
      <c r="AL21" s="65"/>
      <c r="AM21" s="65"/>
      <c r="AN21" s="65"/>
      <c r="AO21" s="65"/>
      <c r="AP21" s="65"/>
      <c r="AQ21" s="4"/>
      <c r="AR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4"/>
      <c r="AJ22" s="4"/>
      <c r="AK22" s="87"/>
      <c r="AL22" s="65"/>
      <c r="AM22" s="65"/>
      <c r="AN22" s="65"/>
      <c r="AO22" s="65"/>
      <c r="AP22" s="65"/>
      <c r="AQ22" s="4"/>
      <c r="AR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4"/>
      <c r="AJ23" s="4"/>
      <c r="AK23" s="87"/>
      <c r="AL23" s="65"/>
      <c r="AM23" s="65"/>
      <c r="AN23" s="65"/>
      <c r="AO23" s="65"/>
      <c r="AP23" s="65"/>
      <c r="AQ23" s="4"/>
      <c r="AR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66"/>
      <c r="AK24" s="88"/>
      <c r="AL24" s="10"/>
      <c r="AM24" s="10"/>
      <c r="AN24" s="10"/>
      <c r="AO24" s="10"/>
      <c r="AP24" s="10"/>
      <c r="AQ24" s="14"/>
      <c r="AR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2"/>
      <c r="AJ25" s="2"/>
      <c r="AK25" s="89"/>
      <c r="AL25" s="2"/>
      <c r="AM25" s="2"/>
      <c r="AN25" s="2"/>
      <c r="AO25" s="2"/>
      <c r="AP25" s="2"/>
      <c r="AQ25" s="2"/>
      <c r="AR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2"/>
      <c r="AJ26" s="2"/>
      <c r="AK26" s="89"/>
      <c r="AL26" s="2"/>
      <c r="AM26" s="2"/>
      <c r="AN26" s="2"/>
      <c r="AO26" s="2"/>
      <c r="AP26" s="2"/>
      <c r="AQ26" s="2"/>
      <c r="AR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2"/>
      <c r="AJ29" s="2"/>
      <c r="AK29" s="8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2"/>
      <c r="AJ30" s="2"/>
      <c r="AK30" s="8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2"/>
      <c r="AJ31" s="2"/>
      <c r="AK31" s="8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2"/>
      <c r="AJ32" s="2"/>
      <c r="AK32" s="8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2"/>
      <c r="AJ33" s="2"/>
      <c r="AK33" s="89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2"/>
      <c r="AJ34" s="2"/>
      <c r="AK34" s="89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Q16:AQ17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J13:AJ14"/>
    <mergeCell ref="AK13:AK14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L13:AL14"/>
    <mergeCell ref="AM13:AM14"/>
    <mergeCell ref="AN13:AN14"/>
    <mergeCell ref="AO13:AO14"/>
    <mergeCell ref="AP13:AP14"/>
    <mergeCell ref="AQ13:AQ14"/>
    <mergeCell ref="A13:A14"/>
    <mergeCell ref="B13:B14"/>
    <mergeCell ref="C13:C14"/>
    <mergeCell ref="D13:D14"/>
    <mergeCell ref="AI13:AI14"/>
  </mergeCells>
  <conditionalFormatting sqref="F5:AH6 F9:AH10 F13:AH14">
    <cfRule type="expression" dxfId="78" priority="21" stopIfTrue="1">
      <formula>IF(WEEKDAY(F$5)=1,TRUE,FALSE)</formula>
    </cfRule>
  </conditionalFormatting>
  <conditionalFormatting sqref="F16:AH17">
    <cfRule type="expression" dxfId="77" priority="4" stopIfTrue="1">
      <formula>IF(WEEKDAY(F$5)=1,TRUE,FALSE)</formula>
    </cfRule>
  </conditionalFormatting>
  <conditionalFormatting sqref="F11:AH12">
    <cfRule type="expression" dxfId="7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5" t="str">
        <f>"BẢNG THANH TOÁN LƯƠNG THÁNG"&amp;" "&amp;TEXT($E$4,"mm")&amp;" / "&amp;TEXT($E$4,"yyyy")</f>
        <v>BẢNG THANH TOÁN LƯƠNG THÁNG 02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19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-2'!$E$4</f>
        <v>42401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203" t="s">
        <v>33</v>
      </c>
      <c r="G7" s="201" t="s">
        <v>17</v>
      </c>
      <c r="H7" s="203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 t="shared" ref="E10:E11" si="2">VLOOKUP(B10,DS,4,0)</f>
        <v>3750000</v>
      </c>
      <c r="F10" s="81">
        <f>VLOOKUP(B10,'CC -2'!$B$8:$AQ$17,34,0)</f>
        <v>19</v>
      </c>
      <c r="G10" s="133">
        <f>ROUND(E10/$S$2*F10,0)</f>
        <v>3750000</v>
      </c>
      <c r="H10" s="81">
        <f>(VLOOKUP(B10,'CC -2'!$B$8:$AQ$17,35,0)+VLOOKUP(B10,'CC -2'!$B$8:$AQ$17,36,0))</f>
        <v>0</v>
      </c>
      <c r="I10" s="133">
        <f>ROUND(E10/$S$2*H10,0)</f>
        <v>0</v>
      </c>
      <c r="J10" s="82">
        <f t="shared" ref="J10:J11" si="3">F10+H10</f>
        <v>19</v>
      </c>
      <c r="K10" s="33">
        <f>G10+I10</f>
        <v>3750000</v>
      </c>
      <c r="L10" s="34">
        <f t="shared" ref="L10:N12" si="4">IF(VLOOKUP($B10,DS,11,0)="x",$E10*L$4,0)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 t="shared" ref="Q10:Q11" si="5"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 t="shared" si="2"/>
        <v>3750000</v>
      </c>
      <c r="F11" s="81">
        <f>VLOOKUP(B11,'CC -2'!$B$8:$AQ$17,34,0)</f>
        <v>19</v>
      </c>
      <c r="G11" s="133">
        <f>ROUND(E11/$S$2*F11,0)</f>
        <v>3750000</v>
      </c>
      <c r="H11" s="81">
        <f>(VLOOKUP(B11,'CC -2'!$B$8:$AQ$17,35,0)+VLOOKUP(B11,'CC -2'!$B$8:$AQ$17,36,0))</f>
        <v>0</v>
      </c>
      <c r="I11" s="133">
        <f>ROUND(E11/$S$2*H11,0)</f>
        <v>0</v>
      </c>
      <c r="J11" s="82">
        <f t="shared" si="3"/>
        <v>19</v>
      </c>
      <c r="K11" s="33">
        <f t="shared" ref="K11" si="6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 t="shared" ref="O11:O12" si="7">K11-SUM(L11:N11)</f>
        <v>3750000</v>
      </c>
      <c r="P11" s="33"/>
      <c r="Q11" s="39">
        <f t="shared" si="5"/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8">VLOOKUP(B12,DS,2,0)</f>
        <v>Đào Quảng Ninh</v>
      </c>
      <c r="D12" s="104" t="str">
        <f t="shared" ref="D12" si="9">VLOOKUP(B12,DS,3,0)</f>
        <v>Giao Hàng</v>
      </c>
      <c r="E12" s="79">
        <f t="shared" ref="E12" si="10">VLOOKUP(B12,DS,4,0)</f>
        <v>3500000</v>
      </c>
      <c r="F12" s="81">
        <f>VLOOKUP(B12,'CC -2'!$B$8:$AQ$17,34,0)</f>
        <v>19</v>
      </c>
      <c r="G12" s="133">
        <f>ROUND(E12/$S$2*F12,0)</f>
        <v>3500000</v>
      </c>
      <c r="H12" s="81">
        <f>(VLOOKUP(B12,'CC -2'!$B$8:$AQ$17,35,0)+VLOOKUP(B12,'CC -2'!$B$8:$AQ$17,36,0))</f>
        <v>0</v>
      </c>
      <c r="I12" s="133">
        <f>ROUND(E12/$S$2*H12,0)</f>
        <v>0</v>
      </c>
      <c r="J12" s="82">
        <f t="shared" ref="J12" si="11">F12+H12</f>
        <v>19</v>
      </c>
      <c r="K12" s="33">
        <f t="shared" ref="K12" si="12">G12+I12</f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 t="shared" si="7"/>
        <v>3500000</v>
      </c>
      <c r="P12" s="33"/>
      <c r="Q12" s="39">
        <f t="shared" ref="Q12" si="13">O12-P12</f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SUM(E9:E12)</f>
        <v>11000000</v>
      </c>
      <c r="F14" s="128"/>
      <c r="G14" s="128">
        <f>SUM(G9:G12)</f>
        <v>11000000</v>
      </c>
      <c r="H14" s="128"/>
      <c r="I14" s="128">
        <f>SUM(I9:I12)</f>
        <v>0</v>
      </c>
      <c r="J14" s="128"/>
      <c r="K14" s="128">
        <f>SUM(K9:K12)</f>
        <v>11000000</v>
      </c>
      <c r="L14" s="128">
        <f>SUM(L9:L12)</f>
        <v>0</v>
      </c>
      <c r="M14" s="128">
        <f>SUM(M9:M12)</f>
        <v>0</v>
      </c>
      <c r="N14" s="128">
        <f>SUM(N9:N12)</f>
        <v>0</v>
      </c>
      <c r="O14" s="128">
        <f>SUM(O9:O12)</f>
        <v>11000000</v>
      </c>
      <c r="P14" s="128"/>
      <c r="Q14" s="128">
        <f>SUM(Q9:Q12)</f>
        <v>11000000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4">VLOOKUP(B16,DS,2,0)</f>
        <v>Thạch Huy Chạch</v>
      </c>
      <c r="D16" s="104" t="str">
        <f t="shared" ref="D16" si="15">VLOOKUP(B16,DS,3,0)</f>
        <v>Công nhân</v>
      </c>
      <c r="E16" s="79">
        <f t="shared" ref="E16" si="16">VLOOKUP(B16,DS,4,0)</f>
        <v>3500000</v>
      </c>
      <c r="F16" s="81">
        <f>VLOOKUP(B16,'CC -2'!$B$8:$AQ$17,34,0)</f>
        <v>19</v>
      </c>
      <c r="G16" s="133">
        <f t="shared" ref="G16" si="17">ROUND(E16/$S$2*F16,0)</f>
        <v>3500000</v>
      </c>
      <c r="H16" s="81">
        <f>(VLOOKUP(B16,'CC -2'!$B$8:$AQ$17,35,0)+VLOOKUP(B16,'CC -2'!$B$8:$AQ$17,36,0))</f>
        <v>0</v>
      </c>
      <c r="I16" s="133">
        <f t="shared" ref="I16" si="18">ROUND(E16/$S$2*H16,0)</f>
        <v>0</v>
      </c>
      <c r="J16" s="134">
        <f t="shared" ref="J16:K16" si="19">F16+H16</f>
        <v>19</v>
      </c>
      <c r="K16" s="33">
        <f t="shared" si="19"/>
        <v>3500000</v>
      </c>
      <c r="L16" s="34">
        <f t="shared" ref="L16:N16" si="20">IF(VLOOKUP($B16,DS,11,0)="x",$E16*L$4,0)</f>
        <v>0</v>
      </c>
      <c r="M16" s="34">
        <f t="shared" si="20"/>
        <v>0</v>
      </c>
      <c r="N16" s="34">
        <f t="shared" si="20"/>
        <v>0</v>
      </c>
      <c r="O16" s="33">
        <f t="shared" ref="O16" si="21"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2">SUM(K15:K17)</f>
        <v>3500000</v>
      </c>
      <c r="L18" s="128">
        <f t="shared" si="22"/>
        <v>0</v>
      </c>
      <c r="M18" s="128">
        <f t="shared" si="22"/>
        <v>0</v>
      </c>
      <c r="N18" s="128">
        <f t="shared" si="22"/>
        <v>0</v>
      </c>
      <c r="O18" s="128">
        <f t="shared" si="22"/>
        <v>3500000</v>
      </c>
      <c r="P18" s="128">
        <f t="shared" si="22"/>
        <v>0</v>
      </c>
      <c r="Q18" s="128">
        <f t="shared" si="22"/>
        <v>3500000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02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AD5:II13 U10:U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03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42430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42430</v>
      </c>
      <c r="G5" s="106">
        <f t="shared" ref="G5:AJ5" si="0">F5+1</f>
        <v>42431</v>
      </c>
      <c r="H5" s="106">
        <f t="shared" si="0"/>
        <v>42432</v>
      </c>
      <c r="I5" s="106">
        <f t="shared" si="0"/>
        <v>42433</v>
      </c>
      <c r="J5" s="106">
        <f t="shared" si="0"/>
        <v>42434</v>
      </c>
      <c r="K5" s="106">
        <f t="shared" si="0"/>
        <v>42435</v>
      </c>
      <c r="L5" s="106">
        <f t="shared" si="0"/>
        <v>42436</v>
      </c>
      <c r="M5" s="106">
        <f t="shared" si="0"/>
        <v>42437</v>
      </c>
      <c r="N5" s="106">
        <f t="shared" si="0"/>
        <v>42438</v>
      </c>
      <c r="O5" s="106">
        <f t="shared" si="0"/>
        <v>42439</v>
      </c>
      <c r="P5" s="106">
        <f t="shared" si="0"/>
        <v>42440</v>
      </c>
      <c r="Q5" s="106">
        <f t="shared" si="0"/>
        <v>42441</v>
      </c>
      <c r="R5" s="106">
        <f t="shared" si="0"/>
        <v>42442</v>
      </c>
      <c r="S5" s="106">
        <f t="shared" si="0"/>
        <v>42443</v>
      </c>
      <c r="T5" s="106">
        <f t="shared" si="0"/>
        <v>42444</v>
      </c>
      <c r="U5" s="106">
        <f t="shared" si="0"/>
        <v>42445</v>
      </c>
      <c r="V5" s="106">
        <f t="shared" si="0"/>
        <v>42446</v>
      </c>
      <c r="W5" s="106">
        <f t="shared" si="0"/>
        <v>42447</v>
      </c>
      <c r="X5" s="106">
        <f t="shared" si="0"/>
        <v>42448</v>
      </c>
      <c r="Y5" s="106">
        <f t="shared" si="0"/>
        <v>42449</v>
      </c>
      <c r="Z5" s="106">
        <f t="shared" si="0"/>
        <v>42450</v>
      </c>
      <c r="AA5" s="106">
        <f t="shared" si="0"/>
        <v>42451</v>
      </c>
      <c r="AB5" s="106">
        <f t="shared" si="0"/>
        <v>42452</v>
      </c>
      <c r="AC5" s="106">
        <f t="shared" si="0"/>
        <v>42453</v>
      </c>
      <c r="AD5" s="106">
        <f t="shared" si="0"/>
        <v>42454</v>
      </c>
      <c r="AE5" s="106">
        <f t="shared" si="0"/>
        <v>42455</v>
      </c>
      <c r="AF5" s="106">
        <f t="shared" si="0"/>
        <v>42456</v>
      </c>
      <c r="AG5" s="106">
        <f t="shared" si="0"/>
        <v>42457</v>
      </c>
      <c r="AH5" s="106">
        <f>AG5+1</f>
        <v>42458</v>
      </c>
      <c r="AI5" s="106">
        <f t="shared" si="0"/>
        <v>42459</v>
      </c>
      <c r="AJ5" s="106">
        <f t="shared" si="0"/>
        <v>42460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T.Ba</v>
      </c>
      <c r="G6" s="158" t="str">
        <f t="shared" ref="G6:AJ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 t="str">
        <f t="shared" si="1"/>
        <v>T.Năm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131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27</v>
      </c>
      <c r="AO9" s="249">
        <v>0</v>
      </c>
      <c r="AP9" s="237"/>
      <c r="AQ9" s="237"/>
      <c r="AR9" s="237"/>
      <c r="AS9" s="239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/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/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/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/>
      <c r="AG11" s="131">
        <v>8</v>
      </c>
      <c r="AH11" s="131">
        <v>8</v>
      </c>
      <c r="AI11" s="131">
        <v>8</v>
      </c>
      <c r="AJ11" s="131">
        <v>8</v>
      </c>
      <c r="AK11" s="245">
        <f t="shared" ref="AK11" si="2">((SUM(F11:AJ11))/8)-(SUMIF($F$6:$AJ$6,"C.Nhật",F11:AJ11)/8)</f>
        <v>27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7">
        <f t="shared" ref="AN11" si="5">SUM(AK11:AM12)</f>
        <v>27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/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/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/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/>
      <c r="AG13" s="131">
        <v>8</v>
      </c>
      <c r="AH13" s="131">
        <v>8</v>
      </c>
      <c r="AI13" s="131">
        <v>8</v>
      </c>
      <c r="AJ13" s="131">
        <v>8</v>
      </c>
      <c r="AK13" s="245">
        <f t="shared" ref="AK13" si="6">((SUM(F13:AJ13))/8)-(SUMIF($F$6:$AJ$6,"C.Nhật",F13:AJ13)/8)</f>
        <v>27</v>
      </c>
      <c r="AL13" s="245">
        <f t="shared" ref="AL13" si="7">SUM(F14:AJ14)/8*1.5</f>
        <v>0</v>
      </c>
      <c r="AM13" s="247">
        <f t="shared" si="4"/>
        <v>0</v>
      </c>
      <c r="AN13" s="237">
        <f t="shared" ref="AN13" si="8">SUM(AK13:AM14)</f>
        <v>27</v>
      </c>
      <c r="AO13" s="249">
        <v>0</v>
      </c>
      <c r="AP13" s="237"/>
      <c r="AQ13" s="237"/>
      <c r="AR13" s="237"/>
      <c r="AS13" s="239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/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/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/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/>
      <c r="AG16" s="131">
        <v>8</v>
      </c>
      <c r="AH16" s="131">
        <v>8</v>
      </c>
      <c r="AI16" s="131">
        <v>8</v>
      </c>
      <c r="AJ16" s="131">
        <v>8</v>
      </c>
      <c r="AK16" s="245">
        <f t="shared" ref="AK16" si="9">((SUM(F16:AJ16))/8)-(SUMIF($F$6:$AJ$6,"C.Nhật",F16:AJ16)/8)</f>
        <v>27</v>
      </c>
      <c r="AL16" s="245">
        <f t="shared" ref="AL16" si="10">SUM(F17:AJ17)/8*1.5</f>
        <v>0</v>
      </c>
      <c r="AM16" s="247">
        <f>SUMIF($F$6:$AJ$6,"C.Nhật",$F16:$AJ17)/8*2</f>
        <v>0</v>
      </c>
      <c r="AN16" s="237">
        <f>SUM(AK16:AM17)</f>
        <v>27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11:A12"/>
    <mergeCell ref="B11:B12"/>
    <mergeCell ref="C11:C12"/>
    <mergeCell ref="D11:D12"/>
    <mergeCell ref="AK11:AK12"/>
    <mergeCell ref="A16:A17"/>
    <mergeCell ref="B16:B17"/>
    <mergeCell ref="AP13:AP14"/>
    <mergeCell ref="AQ13:AQ14"/>
    <mergeCell ref="AR13:AR14"/>
    <mergeCell ref="AM13:AM14"/>
    <mergeCell ref="AN13:AN14"/>
    <mergeCell ref="AR16:AR17"/>
    <mergeCell ref="A13:A14"/>
    <mergeCell ref="B13:B14"/>
    <mergeCell ref="C13:C14"/>
    <mergeCell ref="D13:D14"/>
    <mergeCell ref="AK13:AK14"/>
    <mergeCell ref="C16:C17"/>
    <mergeCell ref="D16:D17"/>
    <mergeCell ref="AK16:AK17"/>
    <mergeCell ref="B9:B10"/>
    <mergeCell ref="AS16:AS17"/>
    <mergeCell ref="AM16:AM17"/>
    <mergeCell ref="AN16:AN17"/>
    <mergeCell ref="AO16:AO17"/>
    <mergeCell ref="AP16:AP17"/>
    <mergeCell ref="AQ16:AQ17"/>
    <mergeCell ref="AS13:AS14"/>
    <mergeCell ref="AL11:AL12"/>
    <mergeCell ref="AM11:AM12"/>
    <mergeCell ref="AN11:AN12"/>
    <mergeCell ref="AO11:AO12"/>
    <mergeCell ref="AL16:AL17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3:AL14"/>
    <mergeCell ref="AO13:AO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AP11:AP12"/>
    <mergeCell ref="AQ11:AQ12"/>
    <mergeCell ref="AR11:AR12"/>
    <mergeCell ref="AS11:AS12"/>
    <mergeCell ref="C9:C10"/>
    <mergeCell ref="D9:D10"/>
    <mergeCell ref="AK9:AK10"/>
  </mergeCells>
  <conditionalFormatting sqref="F5:AJ6 F9:AJ10 F13:AJ14">
    <cfRule type="expression" dxfId="75" priority="35" stopIfTrue="1">
      <formula>IF(WEEKDAY(F$5)=1,TRUE,FALSE)</formula>
    </cfRule>
  </conditionalFormatting>
  <conditionalFormatting sqref="F9:AJ10 F13:AJ14">
    <cfRule type="expression" dxfId="74" priority="34" stopIfTrue="1">
      <formula>IF(WEEKDAY(F$5)=1,TRUE,FALSE)</formula>
    </cfRule>
  </conditionalFormatting>
  <conditionalFormatting sqref="F16:AJ17">
    <cfRule type="expression" dxfId="73" priority="8" stopIfTrue="1">
      <formula>IF(WEEKDAY(F$5)=1,TRUE,FALSE)</formula>
    </cfRule>
  </conditionalFormatting>
  <conditionalFormatting sqref="F16:AJ17">
    <cfRule type="expression" dxfId="72" priority="7" stopIfTrue="1">
      <formula>IF(WEEKDAY(F$5)=1,TRUE,FALSE)</formula>
    </cfRule>
  </conditionalFormatting>
  <conditionalFormatting sqref="F11:AJ12">
    <cfRule type="expression" dxfId="71" priority="2" stopIfTrue="1">
      <formula>IF(WEEKDAY(F$5)=1,TRUE,FALSE)</formula>
    </cfRule>
  </conditionalFormatting>
  <conditionalFormatting sqref="F11:AJ12">
    <cfRule type="expression" dxfId="7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5" t="str">
        <f>"BẢNG THANH TOÁN LƯƠNG THÁNG"&amp;" "&amp;TEXT($E$4,"mm")&amp;" / "&amp;TEXT($E$4,"yyyy")</f>
        <v>BẢNG THANH TOÁN LƯƠNG THÁNG 03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-3'!$E$4</f>
        <v>42430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203" t="s">
        <v>33</v>
      </c>
      <c r="G7" s="201" t="s">
        <v>17</v>
      </c>
      <c r="H7" s="203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 t="shared" ref="E10:E11" si="2">VLOOKUP(B10,DS,4,0)</f>
        <v>3750000</v>
      </c>
      <c r="F10" s="81">
        <f>VLOOKUP(B10,'CC -3'!$B$8:$AS$17,36,0)</f>
        <v>27</v>
      </c>
      <c r="G10" s="133">
        <f>ROUND(E10/$S$2*F10,0)</f>
        <v>3750000</v>
      </c>
      <c r="H10" s="81">
        <f>(VLOOKUP(B10,'CC -3'!$B$8:$AS$17,37,0)+VLOOKUP(B10,'CC -3'!$B$8:$AS$17,38,0))</f>
        <v>0</v>
      </c>
      <c r="I10" s="133">
        <f>ROUND(E10/$S$2*H10,0)</f>
        <v>0</v>
      </c>
      <c r="J10" s="82">
        <f t="shared" ref="J10:J11" si="3">F10+H10</f>
        <v>27</v>
      </c>
      <c r="K10" s="33">
        <f>G10+I10</f>
        <v>3750000</v>
      </c>
      <c r="L10" s="34">
        <f t="shared" ref="L10:N12" si="4">IF(VLOOKUP($B10,DS,13,0)="x",$E10*L$4,0)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 t="shared" ref="Q10:Q11" si="5"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 t="shared" si="2"/>
        <v>3750000</v>
      </c>
      <c r="F11" s="81">
        <f>VLOOKUP(B11,'CC -3'!$B$8:$AS$17,36,0)</f>
        <v>27</v>
      </c>
      <c r="G11" s="133">
        <f>ROUND(E11/$S$2*F11,0)</f>
        <v>3750000</v>
      </c>
      <c r="H11" s="81">
        <f>(VLOOKUP(B11,'CC -3'!$B$8:$AS$17,37,0)+VLOOKUP(B11,'CC -3'!$B$8:$AS$17,38,0))</f>
        <v>0</v>
      </c>
      <c r="I11" s="133">
        <f>ROUND(E11/$S$2*H11,0)</f>
        <v>0</v>
      </c>
      <c r="J11" s="82">
        <f t="shared" si="3"/>
        <v>27</v>
      </c>
      <c r="K11" s="33">
        <f t="shared" ref="K11" si="6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 t="shared" ref="O11:O12" si="7">K11-SUM(L11:N11)</f>
        <v>3750000</v>
      </c>
      <c r="P11" s="33"/>
      <c r="Q11" s="39">
        <f t="shared" si="5"/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8">VLOOKUP(B12,DS,2,0)</f>
        <v>Đào Quảng Ninh</v>
      </c>
      <c r="D12" s="104" t="str">
        <f t="shared" ref="D12" si="9">VLOOKUP(B12,DS,3,0)</f>
        <v>Giao Hàng</v>
      </c>
      <c r="E12" s="79">
        <f t="shared" ref="E12" si="10">VLOOKUP(B12,DS,4,0)</f>
        <v>3500000</v>
      </c>
      <c r="F12" s="81">
        <f>VLOOKUP(B12,'CC -3'!$B$8:$AS$17,36,0)</f>
        <v>27</v>
      </c>
      <c r="G12" s="133">
        <f>ROUND(E12/$S$2*F12,0)</f>
        <v>3500000</v>
      </c>
      <c r="H12" s="81">
        <f>(VLOOKUP(B12,'CC -3'!$B$8:$AS$17,37,0)+VLOOKUP(B12,'CC -3'!$B$8:$AS$17,38,0))</f>
        <v>0</v>
      </c>
      <c r="I12" s="133">
        <f>ROUND(E12/$S$2*H12,0)</f>
        <v>0</v>
      </c>
      <c r="J12" s="82">
        <f t="shared" ref="J12" si="11">F12+H12</f>
        <v>27</v>
      </c>
      <c r="K12" s="33">
        <f t="shared" ref="K12" si="12">G12+I12</f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 t="shared" si="7"/>
        <v>3500000</v>
      </c>
      <c r="P12" s="33"/>
      <c r="Q12" s="39">
        <f t="shared" ref="Q12" si="13">O12-P12</f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32"/>
      <c r="B13" s="129"/>
      <c r="C13" s="78"/>
      <c r="D13" s="104"/>
      <c r="E13" s="79"/>
      <c r="F13" s="81"/>
      <c r="G13" s="133"/>
      <c r="H13" s="81"/>
      <c r="I13" s="133"/>
      <c r="J13" s="82"/>
      <c r="K13" s="33"/>
      <c r="L13" s="34"/>
      <c r="M13" s="34"/>
      <c r="N13" s="34"/>
      <c r="O13" s="33"/>
      <c r="P13" s="33"/>
      <c r="Q13" s="39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SUM(E9:E12)</f>
        <v>11000000</v>
      </c>
      <c r="F14" s="128"/>
      <c r="G14" s="128">
        <f>SUM(G9:G12)</f>
        <v>11000000</v>
      </c>
      <c r="H14" s="128"/>
      <c r="I14" s="128">
        <f>SUM(I9:I12)</f>
        <v>0</v>
      </c>
      <c r="J14" s="128"/>
      <c r="K14" s="128">
        <f>SUM(K9:K12)</f>
        <v>11000000</v>
      </c>
      <c r="L14" s="128">
        <f>SUM(L9:L12)</f>
        <v>0</v>
      </c>
      <c r="M14" s="128">
        <f>SUM(M9:M12)</f>
        <v>0</v>
      </c>
      <c r="N14" s="128">
        <f>SUM(N9:N12)</f>
        <v>0</v>
      </c>
      <c r="O14" s="128">
        <f>SUM(O9:O12)</f>
        <v>11000000</v>
      </c>
      <c r="P14" s="128"/>
      <c r="Q14" s="128">
        <f>SUM(Q9:Q12)</f>
        <v>11000000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4">VLOOKUP(B16,DS,2,0)</f>
        <v>Thạch Huy Chạch</v>
      </c>
      <c r="D16" s="104" t="str">
        <f t="shared" ref="D16" si="15">VLOOKUP(B16,DS,3,0)</f>
        <v>Công nhân</v>
      </c>
      <c r="E16" s="79">
        <f t="shared" ref="E16" si="16">VLOOKUP(B16,DS,4,0)</f>
        <v>3500000</v>
      </c>
      <c r="F16" s="81">
        <f>VLOOKUP(B16,'CC -3'!$B$8:$AS$17,36,0)</f>
        <v>27</v>
      </c>
      <c r="G16" s="133">
        <f t="shared" ref="G16" si="17">ROUND(E16/$S$2*F16,0)</f>
        <v>3500000</v>
      </c>
      <c r="H16" s="81">
        <f>(VLOOKUP(B16,'CC -3'!$B$8:$AS$17,37,0)+VLOOKUP(B16,'CC -3'!$B$8:$AS$17,38,0))</f>
        <v>0</v>
      </c>
      <c r="I16" s="133">
        <f t="shared" ref="I16" si="18">ROUND(E16/$S$2*H16,0)</f>
        <v>0</v>
      </c>
      <c r="J16" s="134">
        <f t="shared" ref="J16:K16" si="19">F16+H16</f>
        <v>27</v>
      </c>
      <c r="K16" s="33">
        <f t="shared" si="19"/>
        <v>3500000</v>
      </c>
      <c r="L16" s="34">
        <f t="shared" ref="L16:N16" si="20">IF(VLOOKUP($B16,DS,13,0)="x",$E16*L$4,0)</f>
        <v>0</v>
      </c>
      <c r="M16" s="34">
        <f t="shared" si="20"/>
        <v>0</v>
      </c>
      <c r="N16" s="34">
        <f t="shared" si="20"/>
        <v>0</v>
      </c>
      <c r="O16" s="33">
        <f t="shared" ref="O16" si="21"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2">SUM(K15:K17)</f>
        <v>3500000</v>
      </c>
      <c r="L18" s="128">
        <f t="shared" si="22"/>
        <v>0</v>
      </c>
      <c r="M18" s="128">
        <f t="shared" si="22"/>
        <v>0</v>
      </c>
      <c r="N18" s="128">
        <f t="shared" si="22"/>
        <v>0</v>
      </c>
      <c r="O18" s="128">
        <f t="shared" si="22"/>
        <v>3500000</v>
      </c>
      <c r="P18" s="128">
        <f t="shared" si="22"/>
        <v>0</v>
      </c>
      <c r="Q18" s="128">
        <f t="shared" si="22"/>
        <v>3500000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03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AD5:II13 U10:U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6 A16:B16 AD16:II16 P16:Q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C16" sqref="C16:C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5" width="3.42578125" style="112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04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44"/>
      <c r="AK1" s="44"/>
      <c r="AL1" s="251" t="s">
        <v>76</v>
      </c>
      <c r="AM1" s="252"/>
      <c r="AN1" s="252"/>
      <c r="AO1" s="252"/>
      <c r="AP1" s="252"/>
      <c r="AQ1" s="252"/>
      <c r="AR1" s="253"/>
      <c r="AS1" s="46"/>
    </row>
    <row r="2" spans="1:90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2"/>
      <c r="D4" s="141"/>
      <c r="E4" s="53">
        <v>42461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42461</v>
      </c>
      <c r="G5" s="106">
        <f t="shared" ref="G5:AI5" si="0">F5+1</f>
        <v>42462</v>
      </c>
      <c r="H5" s="106">
        <f t="shared" si="0"/>
        <v>42463</v>
      </c>
      <c r="I5" s="106">
        <f t="shared" si="0"/>
        <v>42464</v>
      </c>
      <c r="J5" s="106">
        <f t="shared" si="0"/>
        <v>42465</v>
      </c>
      <c r="K5" s="106">
        <f t="shared" si="0"/>
        <v>42466</v>
      </c>
      <c r="L5" s="106">
        <f t="shared" si="0"/>
        <v>42467</v>
      </c>
      <c r="M5" s="106">
        <f t="shared" si="0"/>
        <v>42468</v>
      </c>
      <c r="N5" s="106">
        <f t="shared" si="0"/>
        <v>42469</v>
      </c>
      <c r="O5" s="106">
        <f t="shared" si="0"/>
        <v>42470</v>
      </c>
      <c r="P5" s="106">
        <f t="shared" si="0"/>
        <v>42471</v>
      </c>
      <c r="Q5" s="106">
        <f t="shared" si="0"/>
        <v>42472</v>
      </c>
      <c r="R5" s="106">
        <f t="shared" si="0"/>
        <v>42473</v>
      </c>
      <c r="S5" s="106">
        <f t="shared" si="0"/>
        <v>42474</v>
      </c>
      <c r="T5" s="106">
        <f t="shared" si="0"/>
        <v>42475</v>
      </c>
      <c r="U5" s="106">
        <f t="shared" si="0"/>
        <v>42476</v>
      </c>
      <c r="V5" s="106">
        <f t="shared" si="0"/>
        <v>42477</v>
      </c>
      <c r="W5" s="106">
        <f t="shared" si="0"/>
        <v>42478</v>
      </c>
      <c r="X5" s="106">
        <f t="shared" si="0"/>
        <v>42479</v>
      </c>
      <c r="Y5" s="106">
        <f t="shared" si="0"/>
        <v>42480</v>
      </c>
      <c r="Z5" s="106">
        <f t="shared" si="0"/>
        <v>42481</v>
      </c>
      <c r="AA5" s="106">
        <f t="shared" si="0"/>
        <v>42482</v>
      </c>
      <c r="AB5" s="106">
        <f t="shared" si="0"/>
        <v>42483</v>
      </c>
      <c r="AC5" s="106">
        <f t="shared" si="0"/>
        <v>42484</v>
      </c>
      <c r="AD5" s="106">
        <f t="shared" si="0"/>
        <v>42485</v>
      </c>
      <c r="AE5" s="106">
        <f t="shared" si="0"/>
        <v>42486</v>
      </c>
      <c r="AF5" s="106">
        <f t="shared" si="0"/>
        <v>42487</v>
      </c>
      <c r="AG5" s="106">
        <f t="shared" si="0"/>
        <v>42488</v>
      </c>
      <c r="AH5" s="106">
        <f>AG5+1</f>
        <v>42489</v>
      </c>
      <c r="AI5" s="106">
        <f t="shared" si="0"/>
        <v>42490</v>
      </c>
      <c r="AJ5" s="257" t="s">
        <v>14</v>
      </c>
      <c r="AK5" s="258"/>
      <c r="AL5" s="259"/>
      <c r="AM5" s="260" t="s">
        <v>38</v>
      </c>
      <c r="AN5" s="260" t="s">
        <v>34</v>
      </c>
      <c r="AO5" s="260" t="s">
        <v>35</v>
      </c>
      <c r="AP5" s="260" t="s">
        <v>36</v>
      </c>
      <c r="AQ5" s="260" t="s">
        <v>37</v>
      </c>
      <c r="AR5" s="256" t="s">
        <v>0</v>
      </c>
      <c r="AS5" s="26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T.Sáu</v>
      </c>
      <c r="G6" s="158" t="str">
        <f t="shared" ref="G6:AI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9" t="s">
        <v>15</v>
      </c>
      <c r="AK6" s="159" t="s">
        <v>28</v>
      </c>
      <c r="AL6" s="160" t="s">
        <v>16</v>
      </c>
      <c r="AM6" s="261"/>
      <c r="AN6" s="261"/>
      <c r="AO6" s="261"/>
      <c r="AP6" s="261"/>
      <c r="AQ6" s="261"/>
      <c r="AR6" s="255"/>
      <c r="AS6" s="26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36</v>
      </c>
      <c r="AK7" s="161">
        <v>37</v>
      </c>
      <c r="AL7" s="161">
        <v>38</v>
      </c>
      <c r="AM7" s="161">
        <v>39</v>
      </c>
      <c r="AN7" s="161">
        <v>40</v>
      </c>
      <c r="AO7" s="161">
        <v>41</v>
      </c>
      <c r="AP7" s="161">
        <v>42</v>
      </c>
      <c r="AQ7" s="161">
        <v>43</v>
      </c>
      <c r="AR7" s="161">
        <v>44</v>
      </c>
      <c r="AS7" s="20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3"/>
    </row>
    <row r="9" spans="1:90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245">
        <f>((SUM(F9:AI9))/8)-(SUMIF($F$6:$AI$6,"C.Nhật",F9:AI9)/8)</f>
        <v>25</v>
      </c>
      <c r="AK9" s="245">
        <f>SUM(F10:AI10)/8*1.5</f>
        <v>0</v>
      </c>
      <c r="AL9" s="247">
        <f>SUMIF($F$6:$AI$6,"C.Nhật",$F9:$AI10)/8*2</f>
        <v>0</v>
      </c>
      <c r="AM9" s="237">
        <f>SUM(AJ9:AL10)</f>
        <v>25</v>
      </c>
      <c r="AN9" s="249">
        <v>0</v>
      </c>
      <c r="AO9" s="237"/>
      <c r="AP9" s="237"/>
      <c r="AQ9" s="237"/>
      <c r="AR9" s="239"/>
      <c r="AS9" s="20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46"/>
      <c r="AK10" s="246"/>
      <c r="AL10" s="248"/>
      <c r="AM10" s="238"/>
      <c r="AN10" s="250"/>
      <c r="AO10" s="238"/>
      <c r="AP10" s="238"/>
      <c r="AQ10" s="238"/>
      <c r="AR10" s="240"/>
      <c r="AS10" s="20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245">
        <f>((SUM(F11:AI11))/8)-(SUMIF($F$6:$AI$6,"C.Nhật",F11:AI11)/8)</f>
        <v>25</v>
      </c>
      <c r="AK11" s="245">
        <f>SUM(F12:AI12)/8*1.5</f>
        <v>0</v>
      </c>
      <c r="AL11" s="247">
        <f>SUMIF($F$6:$AI$6,"C.Nhật",$F11:$AI12)/8*2</f>
        <v>0</v>
      </c>
      <c r="AM11" s="237">
        <f>SUM(AJ11:AL12)</f>
        <v>25</v>
      </c>
      <c r="AN11" s="249">
        <v>0</v>
      </c>
      <c r="AO11" s="237"/>
      <c r="AP11" s="237"/>
      <c r="AQ11" s="237"/>
      <c r="AR11" s="239"/>
      <c r="AS11" s="213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46"/>
      <c r="AK12" s="246"/>
      <c r="AL12" s="248"/>
      <c r="AM12" s="238"/>
      <c r="AN12" s="250"/>
      <c r="AO12" s="238"/>
      <c r="AP12" s="238"/>
      <c r="AQ12" s="238"/>
      <c r="AR12" s="240"/>
      <c r="AS12" s="21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/>
      <c r="AJ13" s="245">
        <f>((SUM(F13:AI13))/8)-(SUMIF($F$6:$AI$6,"C.Nhật",F13:AI13)/8)</f>
        <v>25</v>
      </c>
      <c r="AK13" s="245">
        <f>SUM(F14:AI14)/8*1.5</f>
        <v>0</v>
      </c>
      <c r="AL13" s="247">
        <f>SUMIF($F$6:$AI$6,"C.Nhật",$F13:$AI14)/8*2</f>
        <v>0</v>
      </c>
      <c r="AM13" s="237">
        <f>SUM(AJ13:AL14)</f>
        <v>25</v>
      </c>
      <c r="AN13" s="249">
        <v>0</v>
      </c>
      <c r="AO13" s="237"/>
      <c r="AP13" s="237"/>
      <c r="AQ13" s="237"/>
      <c r="AR13" s="239"/>
      <c r="AS13" s="21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246"/>
      <c r="AK14" s="246"/>
      <c r="AL14" s="248"/>
      <c r="AM14" s="238"/>
      <c r="AN14" s="250"/>
      <c r="AO14" s="238"/>
      <c r="AP14" s="238"/>
      <c r="AQ14" s="238"/>
      <c r="AR14" s="240"/>
      <c r="AS14" s="21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7"/>
      <c r="AS15" s="163"/>
    </row>
    <row r="16" spans="1:90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/>
      <c r="AJ16" s="245">
        <f>((SUM(F16:AI16))/8)-(SUMIF($F$6:$AI$6,"C.Nhật",F16:AI16)/8)</f>
        <v>25</v>
      </c>
      <c r="AK16" s="245">
        <f>SUM(F17:AI17)/8*1.5</f>
        <v>0</v>
      </c>
      <c r="AL16" s="247">
        <f>SUMIF($F$6:$AI$6,"C.Nhật",$F16:$AI17)/8*2</f>
        <v>0</v>
      </c>
      <c r="AM16" s="237">
        <f>SUM(AJ16:AL17)</f>
        <v>25</v>
      </c>
      <c r="AN16" s="249">
        <v>0</v>
      </c>
      <c r="AO16" s="237"/>
      <c r="AP16" s="237"/>
      <c r="AQ16" s="237"/>
      <c r="AR16" s="239"/>
      <c r="AS16" s="20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246"/>
      <c r="AK17" s="246"/>
      <c r="AL17" s="248"/>
      <c r="AM17" s="238"/>
      <c r="AN17" s="250"/>
      <c r="AO17" s="238"/>
      <c r="AP17" s="238"/>
      <c r="AQ17" s="238"/>
      <c r="AR17" s="240"/>
      <c r="AS17" s="20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4"/>
      <c r="AK18" s="4"/>
      <c r="AL18" s="87"/>
      <c r="AM18" s="63"/>
      <c r="AN18" s="63"/>
      <c r="AO18" s="63"/>
      <c r="AP18" s="63"/>
      <c r="AQ18" s="63"/>
      <c r="AR18" s="4"/>
      <c r="AS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4"/>
      <c r="AK19" s="4"/>
      <c r="AL19" s="87"/>
      <c r="AM19" s="63"/>
      <c r="AN19" s="63"/>
      <c r="AO19" s="63"/>
      <c r="AP19" s="63"/>
      <c r="AQ19" s="63"/>
      <c r="AR19" s="4"/>
      <c r="AS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4"/>
      <c r="AK22" s="4"/>
      <c r="AL22" s="87"/>
      <c r="AM22" s="65"/>
      <c r="AN22" s="65"/>
      <c r="AO22" s="65"/>
      <c r="AP22" s="65"/>
      <c r="AQ22" s="65"/>
      <c r="AR22" s="4"/>
      <c r="AS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4"/>
      <c r="AK23" s="4"/>
      <c r="AL23" s="87"/>
      <c r="AM23" s="65"/>
      <c r="AN23" s="65"/>
      <c r="AO23" s="65"/>
      <c r="AP23" s="65"/>
      <c r="AQ23" s="65"/>
      <c r="AR23" s="4"/>
      <c r="AS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66"/>
      <c r="AL24" s="88"/>
      <c r="AM24" s="10"/>
      <c r="AN24" s="10"/>
      <c r="AO24" s="10"/>
      <c r="AP24" s="10"/>
      <c r="AQ24" s="10"/>
      <c r="AR24" s="14"/>
      <c r="AS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2"/>
      <c r="AK25" s="2"/>
      <c r="AL25" s="89"/>
      <c r="AM25" s="2"/>
      <c r="AN25" s="2"/>
      <c r="AO25" s="2"/>
      <c r="AP25" s="2"/>
      <c r="AQ25" s="2"/>
      <c r="AR25" s="2"/>
      <c r="AS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2"/>
      <c r="AK26" s="2"/>
      <c r="AL26" s="89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2"/>
      <c r="AK33" s="2"/>
      <c r="AL33" s="89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2"/>
      <c r="AK34" s="2"/>
      <c r="AL34" s="89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P13:AP14"/>
    <mergeCell ref="AQ13:AQ14"/>
    <mergeCell ref="AR13:AR14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K13:AK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J13:AJ14"/>
    <mergeCell ref="B16:B17"/>
    <mergeCell ref="C16:C17"/>
    <mergeCell ref="D16:D17"/>
    <mergeCell ref="AJ16:AJ17"/>
    <mergeCell ref="AK16:AK17"/>
    <mergeCell ref="AM16:AM17"/>
    <mergeCell ref="AN16:AN17"/>
    <mergeCell ref="AO16:AO17"/>
    <mergeCell ref="AP16:AP17"/>
    <mergeCell ref="AQ16:AQ17"/>
    <mergeCell ref="A16:A17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6:AR17"/>
    <mergeCell ref="AL16:AL17"/>
    <mergeCell ref="C9:C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0">
    <cfRule type="expression" dxfId="69" priority="22" stopIfTrue="1">
      <formula>IF(WEEKDAY(F$5)=1,TRUE,FALSE)</formula>
    </cfRule>
  </conditionalFormatting>
  <conditionalFormatting sqref="F16:AI17">
    <cfRule type="expression" dxfId="68" priority="5" stopIfTrue="1">
      <formula>IF(WEEKDAY(F$5)=1,TRUE,FALSE)</formula>
    </cfRule>
  </conditionalFormatting>
  <conditionalFormatting sqref="F13:AI14">
    <cfRule type="expression" dxfId="67" priority="2" stopIfTrue="1">
      <formula>IF(WEEKDAY(F$5)=1,TRUE,FALSE)</formula>
    </cfRule>
  </conditionalFormatting>
  <conditionalFormatting sqref="F11:AI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5" t="str">
        <f>"BẢNG THANH TOÁN LƯƠNG THÁNG"&amp;" "&amp;TEXT($E$4,"mm")&amp;" / "&amp;TEXT($E$4,"yyyy")</f>
        <v>BẢNG THANH TOÁN LƯƠNG THÁNG 04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-4'!$E$4</f>
        <v>42461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203" t="s">
        <v>33</v>
      </c>
      <c r="G7" s="201" t="s">
        <v>17</v>
      </c>
      <c r="H7" s="203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-4'!$B$8:$AR$17,35,0)</f>
        <v>25</v>
      </c>
      <c r="G10" s="133">
        <f>ROUND(E10/$S$2*F10,0)</f>
        <v>3750000</v>
      </c>
      <c r="H10" s="81">
        <f>(VLOOKUP(B10,'CC -4'!$B$8:$AR$17,36,0)+VLOOKUP(B10,'CC -4'!$B$8:$AR$17,37,0))</f>
        <v>0</v>
      </c>
      <c r="I10" s="133">
        <f>ROUND(E10/$S$2*H10,0)</f>
        <v>0</v>
      </c>
      <c r="J10" s="82">
        <f t="shared" ref="J10" si="3">F10+H10</f>
        <v>25</v>
      </c>
      <c r="K10" s="33">
        <f>G10+I10</f>
        <v>3750000</v>
      </c>
      <c r="L10" s="34">
        <f t="shared" ref="L10:N12" si="4">IF(VLOOKUP($B10,DS,15,0)="x",$E10*L$4,0)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 t="shared" ref="Q10" si="5"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-4'!$B$8:$AR$17,35,0)</f>
        <v>25</v>
      </c>
      <c r="G11" s="133">
        <f>ROUND(E11/$S$2*F11,0)</f>
        <v>3750000</v>
      </c>
      <c r="H11" s="81">
        <f>(VLOOKUP(B11,'CC -4'!$B$8:$AR$17,36,0)+VLOOKUP(B11,'CC -4'!$B$8:$AR$17,37,0))</f>
        <v>0</v>
      </c>
      <c r="I11" s="133">
        <f>ROUND(E11/$S$2*H11,0)</f>
        <v>0</v>
      </c>
      <c r="J11" s="82">
        <f t="shared" ref="J11:J12" si="9">F11+H11</f>
        <v>25</v>
      </c>
      <c r="K11" s="33">
        <f t="shared" ref="K11:K12" si="10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 t="shared" ref="O11:O12" si="11">K11-SUM(L11:N11)</f>
        <v>3750000</v>
      </c>
      <c r="P11" s="33"/>
      <c r="Q11" s="39">
        <f t="shared" ref="Q11:Q12" si="12">O11-P11</f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-4'!$B$8:$AR$17,35,0)</f>
        <v>25</v>
      </c>
      <c r="G12" s="133">
        <f>ROUND(E12/$S$2*F12,0)</f>
        <v>3500000</v>
      </c>
      <c r="H12" s="81">
        <f>(VLOOKUP(B12,'CC -4'!$B$8:$AR$17,36,0)+VLOOKUP(B12,'CC -4'!$B$8:$AR$17,37,0))</f>
        <v>0</v>
      </c>
      <c r="I12" s="133">
        <f>ROUND(E12/$S$2*H12,0)</f>
        <v>0</v>
      </c>
      <c r="J12" s="82">
        <f t="shared" si="9"/>
        <v>25</v>
      </c>
      <c r="K12" s="33">
        <f t="shared" si="10"/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 t="shared" si="11"/>
        <v>3500000</v>
      </c>
      <c r="P12" s="33"/>
      <c r="Q12" s="39">
        <f t="shared" si="12"/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0</v>
      </c>
      <c r="M14" s="128">
        <f>SUM(M9:M10)</f>
        <v>0</v>
      </c>
      <c r="N14" s="128">
        <f>SUM(N9:N10)</f>
        <v>0</v>
      </c>
      <c r="O14" s="128">
        <f>SUM(O9:O10)</f>
        <v>3750000</v>
      </c>
      <c r="P14" s="128"/>
      <c r="Q14" s="128">
        <f>SUM(Q9:Q10)</f>
        <v>3750000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-4'!$B$8:$AR$17,35,0)</f>
        <v>25</v>
      </c>
      <c r="G16" s="133">
        <f t="shared" ref="G16" si="16">ROUND(E16/$S$2*F16,0)</f>
        <v>3500000</v>
      </c>
      <c r="H16" s="81">
        <f>(VLOOKUP(B16,'CC -4'!$B$8:$AR$17,36,0)+VLOOKUP(B16,'CC -4'!$B$8:$AR$17,37,0))</f>
        <v>0</v>
      </c>
      <c r="I16" s="133">
        <f t="shared" ref="I16" si="17">ROUND(E16/$S$2*H16,0)</f>
        <v>0</v>
      </c>
      <c r="J16" s="134">
        <f t="shared" ref="J16:K16" si="18">F16+H16</f>
        <v>25</v>
      </c>
      <c r="K16" s="33">
        <f t="shared" si="18"/>
        <v>3500000</v>
      </c>
      <c r="L16" s="34">
        <f t="shared" ref="L16:N16" si="19">IF(VLOOKUP($B16,DS,15,0)="x",$E16*L$4,0)</f>
        <v>0</v>
      </c>
      <c r="M16" s="34">
        <f t="shared" si="19"/>
        <v>0</v>
      </c>
      <c r="N16" s="34">
        <f t="shared" si="19"/>
        <v>0</v>
      </c>
      <c r="O16" s="33">
        <f t="shared" ref="O16" si="20"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1">SUM(K15:K17)</f>
        <v>3500000</v>
      </c>
      <c r="L18" s="128">
        <f t="shared" si="21"/>
        <v>0</v>
      </c>
      <c r="M18" s="128">
        <f t="shared" si="21"/>
        <v>0</v>
      </c>
      <c r="N18" s="128">
        <f t="shared" si="21"/>
        <v>0</v>
      </c>
      <c r="O18" s="128">
        <f t="shared" si="21"/>
        <v>3500000</v>
      </c>
      <c r="P18" s="128">
        <f t="shared" si="21"/>
        <v>0</v>
      </c>
      <c r="Q18" s="128">
        <f t="shared" si="21"/>
        <v>3500000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04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U10:U13 AD5:II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D16:II16 A16:B16 U16 P16:Q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10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3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05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42491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42491</v>
      </c>
      <c r="G5" s="106">
        <f t="shared" ref="G5:AJ5" si="0">F5+1</f>
        <v>42492</v>
      </c>
      <c r="H5" s="106">
        <f t="shared" si="0"/>
        <v>42493</v>
      </c>
      <c r="I5" s="106">
        <f t="shared" si="0"/>
        <v>42494</v>
      </c>
      <c r="J5" s="106">
        <f t="shared" si="0"/>
        <v>42495</v>
      </c>
      <c r="K5" s="106">
        <f t="shared" si="0"/>
        <v>42496</v>
      </c>
      <c r="L5" s="106">
        <f t="shared" si="0"/>
        <v>42497</v>
      </c>
      <c r="M5" s="106">
        <f t="shared" si="0"/>
        <v>42498</v>
      </c>
      <c r="N5" s="106">
        <f t="shared" si="0"/>
        <v>42499</v>
      </c>
      <c r="O5" s="106">
        <f t="shared" si="0"/>
        <v>42500</v>
      </c>
      <c r="P5" s="106">
        <f t="shared" si="0"/>
        <v>42501</v>
      </c>
      <c r="Q5" s="106">
        <f t="shared" si="0"/>
        <v>42502</v>
      </c>
      <c r="R5" s="106">
        <f t="shared" si="0"/>
        <v>42503</v>
      </c>
      <c r="S5" s="106">
        <f t="shared" si="0"/>
        <v>42504</v>
      </c>
      <c r="T5" s="106">
        <f t="shared" si="0"/>
        <v>42505</v>
      </c>
      <c r="U5" s="106">
        <f t="shared" si="0"/>
        <v>42506</v>
      </c>
      <c r="V5" s="106">
        <f t="shared" si="0"/>
        <v>42507</v>
      </c>
      <c r="W5" s="106">
        <f t="shared" si="0"/>
        <v>42508</v>
      </c>
      <c r="X5" s="106">
        <f t="shared" si="0"/>
        <v>42509</v>
      </c>
      <c r="Y5" s="106">
        <f t="shared" si="0"/>
        <v>42510</v>
      </c>
      <c r="Z5" s="106">
        <f t="shared" si="0"/>
        <v>42511</v>
      </c>
      <c r="AA5" s="106">
        <f t="shared" si="0"/>
        <v>42512</v>
      </c>
      <c r="AB5" s="106">
        <f t="shared" si="0"/>
        <v>42513</v>
      </c>
      <c r="AC5" s="106">
        <f t="shared" si="0"/>
        <v>42514</v>
      </c>
      <c r="AD5" s="106">
        <f t="shared" si="0"/>
        <v>42515</v>
      </c>
      <c r="AE5" s="106">
        <f t="shared" si="0"/>
        <v>42516</v>
      </c>
      <c r="AF5" s="106">
        <f t="shared" si="0"/>
        <v>42517</v>
      </c>
      <c r="AG5" s="106">
        <f t="shared" si="0"/>
        <v>42518</v>
      </c>
      <c r="AH5" s="106">
        <f>AG5+1</f>
        <v>42519</v>
      </c>
      <c r="AI5" s="106">
        <f t="shared" si="0"/>
        <v>42520</v>
      </c>
      <c r="AJ5" s="106">
        <f t="shared" si="0"/>
        <v>42521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>
        <v>8</v>
      </c>
      <c r="AJ9" s="131">
        <v>8</v>
      </c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25</v>
      </c>
      <c r="AO9" s="249">
        <v>0</v>
      </c>
      <c r="AP9" s="237"/>
      <c r="AQ9" s="237"/>
      <c r="AR9" s="237"/>
      <c r="AS9" s="239"/>
      <c r="AT9" s="1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>
        <v>8</v>
      </c>
      <c r="AJ11" s="131">
        <v>8</v>
      </c>
      <c r="AK11" s="245">
        <f>((SUM(F11:AJ11))/8)-(SUMIF($F$6:$AJ$6,"C.Nhật",F11:AJ11)/8)</f>
        <v>25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25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/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/>
      <c r="AI13" s="131">
        <v>8</v>
      </c>
      <c r="AJ13" s="131">
        <v>8</v>
      </c>
      <c r="AK13" s="245">
        <f>((SUM(F13:AJ13))/8)-(SUMIF($F$6:$AJ$6,"C.Nhật",F13:AJ13)/8)</f>
        <v>25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25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/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/>
      <c r="AI16" s="131">
        <v>8</v>
      </c>
      <c r="AJ16" s="131">
        <v>8</v>
      </c>
      <c r="AK16" s="245">
        <f t="shared" ref="AK16" si="2">((SUM(F16:AJ16))/8)-(SUMIF($F$6:$AJ$6,"C.Nhật",F16:AJ16)/8)</f>
        <v>25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25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03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03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M1:AS1"/>
    <mergeCell ref="AM9:AM10"/>
    <mergeCell ref="AO5:AO6"/>
    <mergeCell ref="AP5:AP6"/>
    <mergeCell ref="AN5:AN6"/>
    <mergeCell ref="AQ5:AQ6"/>
    <mergeCell ref="AN9:AN10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  <mergeCell ref="AL9:AL10"/>
    <mergeCell ref="AK5:AM5"/>
    <mergeCell ref="AK9:AK10"/>
    <mergeCell ref="AS16:AS17"/>
    <mergeCell ref="AL16:AL17"/>
    <mergeCell ref="AR16:AR17"/>
    <mergeCell ref="AM16:AM17"/>
    <mergeCell ref="AN16:AN17"/>
    <mergeCell ref="AO16:AO17"/>
    <mergeCell ref="AP16:AP17"/>
    <mergeCell ref="AQ16:AQ17"/>
    <mergeCell ref="AL13:AL14"/>
    <mergeCell ref="AM13:AM14"/>
    <mergeCell ref="AN13:AN14"/>
    <mergeCell ref="AO13:AO14"/>
    <mergeCell ref="AP13:AP14"/>
    <mergeCell ref="C16:C17"/>
    <mergeCell ref="A16:A17"/>
    <mergeCell ref="B16:B17"/>
    <mergeCell ref="D16:D17"/>
    <mergeCell ref="AK16:AK17"/>
  </mergeCells>
  <phoneticPr fontId="47" type="noConversion"/>
  <conditionalFormatting sqref="F5:AJ6 F9:AJ10">
    <cfRule type="expression" dxfId="65" priority="57" stopIfTrue="1">
      <formula>IF(WEEKDAY(F$5)=1,TRUE,FALSE)</formula>
    </cfRule>
  </conditionalFormatting>
  <conditionalFormatting sqref="F9:AJ10">
    <cfRule type="expression" dxfId="64" priority="54" stopIfTrue="1">
      <formula>IF(WEEKDAY(F$5)=1,TRUE,FALSE)</formula>
    </cfRule>
  </conditionalFormatting>
  <conditionalFormatting sqref="F16:F17">
    <cfRule type="expression" dxfId="63" priority="20" stopIfTrue="1">
      <formula>IF(WEEKDAY(F$5)=1,TRUE,FALSE)</formula>
    </cfRule>
  </conditionalFormatting>
  <conditionalFormatting sqref="F16:F17">
    <cfRule type="expression" dxfId="62" priority="19" stopIfTrue="1">
      <formula>IF(WEEKDAY(F$5)=1,TRUE,FALSE)</formula>
    </cfRule>
  </conditionalFormatting>
  <conditionalFormatting sqref="G16:AJ17">
    <cfRule type="expression" dxfId="61" priority="12" stopIfTrue="1">
      <formula>IF(WEEKDAY(G$5)=1,TRUE,FALSE)</formula>
    </cfRule>
  </conditionalFormatting>
  <conditionalFormatting sqref="G16:AJ17">
    <cfRule type="expression" dxfId="60" priority="11" stopIfTrue="1">
      <formula>IF(WEEKDAY(G$5)=1,TRUE,FALSE)</formula>
    </cfRule>
  </conditionalFormatting>
  <conditionalFormatting sqref="F13:AJ14">
    <cfRule type="expression" dxfId="59" priority="4" stopIfTrue="1">
      <formula>IF(WEEKDAY(F$5)=1,TRUE,FALSE)</formula>
    </cfRule>
  </conditionalFormatting>
  <conditionalFormatting sqref="F13:AJ14">
    <cfRule type="expression" dxfId="58" priority="3" stopIfTrue="1">
      <formula>IF(WEEKDAY(F$5)=1,TRUE,FALSE)</formula>
    </cfRule>
  </conditionalFormatting>
  <conditionalFormatting sqref="F11:AJ12">
    <cfRule type="expression" dxfId="57" priority="2" stopIfTrue="1">
      <formula>IF(WEEKDAY(F$5)=1,TRUE,FALSE)</formula>
    </cfRule>
  </conditionalFormatting>
  <conditionalFormatting sqref="F11:AJ12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2" sqref="A2:A3"/>
      <selection pane="topRight" activeCell="A2" sqref="A2:A3"/>
      <selection pane="bottomLeft" activeCell="A2" sqref="A2:A3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40"/>
      <c r="C1" s="40"/>
      <c r="D1" s="265" t="str">
        <f>"BẢNG THANH TOÁN LƯƠNG THÁNG"&amp;" "&amp;TEXT($E$4,"mm")&amp;" / "&amp;TEXT($E$4,"yyyy")</f>
        <v>BẢNG THANH TOÁN LƯƠNG THÁNG 05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40"/>
      <c r="N2" s="40"/>
      <c r="O2" s="40"/>
      <c r="P2" s="40"/>
      <c r="Q2" s="40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40"/>
      <c r="N3" s="40"/>
      <c r="O3" s="40"/>
      <c r="P3" s="40"/>
      <c r="Q3" s="40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-5'!$E$4</f>
        <v>42491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28" t="s">
        <v>33</v>
      </c>
      <c r="G7" s="29" t="s">
        <v>17</v>
      </c>
      <c r="H7" s="155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-5'!$B$8:$AS$17,36,0)</f>
        <v>25</v>
      </c>
      <c r="G10" s="133">
        <f>ROUND(E10/$S$2*F10,0)</f>
        <v>3750000</v>
      </c>
      <c r="H10" s="81">
        <f>(VLOOKUP(B10,'CC -5'!$B$8:$AS$17,37,0)+VLOOKUP(B10,'CC -5'!$B$8:$AS$17,38,0))</f>
        <v>0</v>
      </c>
      <c r="I10" s="133">
        <f>ROUND(E10/$S$2*H10,0)</f>
        <v>0</v>
      </c>
      <c r="J10" s="82">
        <f t="shared" ref="J10" si="3">F10+H10</f>
        <v>25</v>
      </c>
      <c r="K10" s="33">
        <f>G10+I10</f>
        <v>3750000</v>
      </c>
      <c r="L10" s="34">
        <f t="shared" ref="L10:N12" si="4">IF(VLOOKUP($B10,DS,17,0)="x",$E10*L$4,0)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-5'!$B$8:$AS$17,36,0)</f>
        <v>25</v>
      </c>
      <c r="G11" s="133">
        <f>ROUND(E11/$S$2*F11,0)</f>
        <v>3750000</v>
      </c>
      <c r="H11" s="81">
        <f>(VLOOKUP(B11,'CC -5'!$B$8:$AS$17,37,0)+VLOOKUP(B11,'CC -5'!$B$8:$AS$17,38,0))</f>
        <v>0</v>
      </c>
      <c r="I11" s="133">
        <f>ROUND(E11/$S$2*H11,0)</f>
        <v>0</v>
      </c>
      <c r="J11" s="82">
        <f t="shared" ref="J11:J12" si="9">F11+H11</f>
        <v>25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-5'!$B$8:$AS$17,36,0)</f>
        <v>25</v>
      </c>
      <c r="G12" s="133">
        <f>ROUND(E12/$S$2*F12,0)</f>
        <v>3500000</v>
      </c>
      <c r="H12" s="81">
        <f>(VLOOKUP(B12,'CC -5'!$B$8:$AS$17,37,0)+VLOOKUP(B12,'CC -5'!$B$8:$AS$17,38,0))</f>
        <v>0</v>
      </c>
      <c r="I12" s="133">
        <f>ROUND(E12/$S$2*H12,0)</f>
        <v>0</v>
      </c>
      <c r="J12" s="82">
        <f t="shared" si="9"/>
        <v>25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-5'!$B$8:$AS$17,36,0)</f>
        <v>25</v>
      </c>
      <c r="G16" s="133">
        <f>ROUND(E16/$S$2*F16,0)</f>
        <v>3500000</v>
      </c>
      <c r="H16" s="81">
        <f>(VLOOKUP(B16,'CC -5'!$B$8:$AS$17,37,0)+VLOOKUP(B16,'CC -5'!$B$8:$AS$17,38,0))</f>
        <v>0</v>
      </c>
      <c r="I16" s="133">
        <f>ROUND(E16/$S$2*H16,0)</f>
        <v>0</v>
      </c>
      <c r="J16" s="134">
        <f t="shared" ref="J16" si="16">F16+H16</f>
        <v>25</v>
      </c>
      <c r="K16" s="33">
        <f t="shared" ref="K16" si="17">G16+I16</f>
        <v>3500000</v>
      </c>
      <c r="L16" s="34">
        <f t="shared" ref="L16:N16" si="18">IF(VLOOKUP($B16,DS,17,0)="x",$E16*L$4,0)</f>
        <v>280000</v>
      </c>
      <c r="M16" s="34">
        <f t="shared" si="18"/>
        <v>52500</v>
      </c>
      <c r="N16" s="34">
        <f t="shared" si="18"/>
        <v>35000</v>
      </c>
      <c r="O16" s="33">
        <f t="shared" ref="O16" si="19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0">SUM(K15:K17)</f>
        <v>3500000</v>
      </c>
      <c r="L18" s="128">
        <f t="shared" si="20"/>
        <v>280000</v>
      </c>
      <c r="M18" s="128">
        <f t="shared" si="20"/>
        <v>52500</v>
      </c>
      <c r="N18" s="128">
        <f t="shared" si="20"/>
        <v>35000</v>
      </c>
      <c r="O18" s="128">
        <f t="shared" si="20"/>
        <v>3132500</v>
      </c>
      <c r="P18" s="128">
        <f t="shared" si="20"/>
        <v>0</v>
      </c>
      <c r="Q18" s="128">
        <f t="shared" si="20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05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U10:U13 AD5:II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Q5:Q7"/>
    <mergeCell ref="P1:R1"/>
    <mergeCell ref="O5:O7"/>
    <mergeCell ref="L5:N5"/>
    <mergeCell ref="P5:P7"/>
    <mergeCell ref="M6:M7"/>
    <mergeCell ref="L6:L7"/>
    <mergeCell ref="N6:N7"/>
    <mergeCell ref="R5:R7"/>
    <mergeCell ref="D1:O1"/>
    <mergeCell ref="A5:A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4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06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42522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42522</v>
      </c>
      <c r="G5" s="106">
        <f t="shared" ref="G5:AJ5" si="0">F5+1</f>
        <v>42523</v>
      </c>
      <c r="H5" s="106">
        <f t="shared" si="0"/>
        <v>42524</v>
      </c>
      <c r="I5" s="106">
        <f t="shared" si="0"/>
        <v>42525</v>
      </c>
      <c r="J5" s="106">
        <f t="shared" si="0"/>
        <v>42526</v>
      </c>
      <c r="K5" s="106">
        <f t="shared" si="0"/>
        <v>42527</v>
      </c>
      <c r="L5" s="106">
        <f t="shared" si="0"/>
        <v>42528</v>
      </c>
      <c r="M5" s="106">
        <f t="shared" si="0"/>
        <v>42529</v>
      </c>
      <c r="N5" s="106">
        <f t="shared" si="0"/>
        <v>42530</v>
      </c>
      <c r="O5" s="106">
        <f t="shared" si="0"/>
        <v>42531</v>
      </c>
      <c r="P5" s="106">
        <f t="shared" si="0"/>
        <v>42532</v>
      </c>
      <c r="Q5" s="106">
        <f t="shared" si="0"/>
        <v>42533</v>
      </c>
      <c r="R5" s="106">
        <f t="shared" si="0"/>
        <v>42534</v>
      </c>
      <c r="S5" s="106">
        <f t="shared" si="0"/>
        <v>42535</v>
      </c>
      <c r="T5" s="106">
        <f t="shared" si="0"/>
        <v>42536</v>
      </c>
      <c r="U5" s="106">
        <f t="shared" si="0"/>
        <v>42537</v>
      </c>
      <c r="V5" s="106">
        <f t="shared" si="0"/>
        <v>42538</v>
      </c>
      <c r="W5" s="106">
        <f t="shared" si="0"/>
        <v>42539</v>
      </c>
      <c r="X5" s="106">
        <f t="shared" si="0"/>
        <v>42540</v>
      </c>
      <c r="Y5" s="106">
        <f t="shared" si="0"/>
        <v>42541</v>
      </c>
      <c r="Z5" s="106">
        <f t="shared" si="0"/>
        <v>42542</v>
      </c>
      <c r="AA5" s="106">
        <f t="shared" si="0"/>
        <v>42543</v>
      </c>
      <c r="AB5" s="106">
        <f t="shared" si="0"/>
        <v>42544</v>
      </c>
      <c r="AC5" s="106">
        <f t="shared" si="0"/>
        <v>42545</v>
      </c>
      <c r="AD5" s="106">
        <f t="shared" si="0"/>
        <v>42546</v>
      </c>
      <c r="AE5" s="106">
        <f t="shared" si="0"/>
        <v>42547</v>
      </c>
      <c r="AF5" s="106">
        <f t="shared" si="0"/>
        <v>42548</v>
      </c>
      <c r="AG5" s="106">
        <f t="shared" si="0"/>
        <v>42549</v>
      </c>
      <c r="AH5" s="106">
        <f>AG5+1</f>
        <v>42550</v>
      </c>
      <c r="AI5" s="106">
        <f t="shared" si="0"/>
        <v>42551</v>
      </c>
      <c r="AJ5" s="106">
        <f t="shared" si="0"/>
        <v>42552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T.Tư</v>
      </c>
      <c r="G6" s="158" t="str">
        <f t="shared" ref="G6:AJ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 t="str">
        <f t="shared" si="1"/>
        <v>T.Sáu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7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131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26</v>
      </c>
      <c r="AO9" s="249">
        <v>0</v>
      </c>
      <c r="AP9" s="237"/>
      <c r="AQ9" s="237"/>
      <c r="AR9" s="237"/>
      <c r="AS9" s="239"/>
      <c r="AT9" s="17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7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131"/>
      <c r="AK11" s="245">
        <f>((SUM(F11:AJ11))/8)-(SUMIF($F$6:$AJ$6,"C.Nhật",F11:AJ11)/8)</f>
        <v>26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26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131"/>
      <c r="AK13" s="245">
        <f>((SUM(F13:AJ13))/8)-(SUMIF($F$6:$AJ$6,"C.Nhật",F13:AJ13)/8)</f>
        <v>26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26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/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/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/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/>
      <c r="AF16" s="131">
        <v>8</v>
      </c>
      <c r="AG16" s="131">
        <v>8</v>
      </c>
      <c r="AH16" s="131">
        <v>8</v>
      </c>
      <c r="AI16" s="131">
        <v>8</v>
      </c>
      <c r="AJ16" s="131"/>
      <c r="AK16" s="245">
        <f t="shared" ref="AK16" si="2">((SUM(F16:AJ16))/8)-(SUMIF($F$6:$AJ$6,"C.Nhật",F16:AJ16)/8)</f>
        <v>26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26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4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4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M16:AM17"/>
    <mergeCell ref="AN16:AN17"/>
    <mergeCell ref="AO16:AO17"/>
    <mergeCell ref="AP16:AP17"/>
    <mergeCell ref="AS16:AS17"/>
    <mergeCell ref="AQ16:AQ17"/>
    <mergeCell ref="AR16:AR17"/>
    <mergeCell ref="AL16:AL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</mergeCells>
  <conditionalFormatting sqref="F5:AJ6 F9:AJ10">
    <cfRule type="expression" dxfId="55" priority="70" stopIfTrue="1">
      <formula>IF(WEEKDAY(F$5)=1,TRUE,FALSE)</formula>
    </cfRule>
  </conditionalFormatting>
  <conditionalFormatting sqref="F9:AJ10">
    <cfRule type="expression" dxfId="54" priority="69" stopIfTrue="1">
      <formula>IF(WEEKDAY(F$5)=1,TRUE,FALSE)</formula>
    </cfRule>
  </conditionalFormatting>
  <conditionalFormatting sqref="AJ16:AJ17">
    <cfRule type="expression" dxfId="53" priority="58" stopIfTrue="1">
      <formula>IF(WEEKDAY(AJ$5)=1,TRUE,FALSE)</formula>
    </cfRule>
  </conditionalFormatting>
  <conditionalFormatting sqref="AJ16:AJ17">
    <cfRule type="expression" dxfId="52" priority="57" stopIfTrue="1">
      <formula>IF(WEEKDAY(AJ$5)=1,TRUE,FALSE)</formula>
    </cfRule>
  </conditionalFormatting>
  <conditionalFormatting sqref="AJ16:AJ17">
    <cfRule type="expression" dxfId="51" priority="56" stopIfTrue="1">
      <formula>IF(WEEKDAY(AJ$5)=1,TRUE,FALSE)</formula>
    </cfRule>
  </conditionalFormatting>
  <conditionalFormatting sqref="AJ16:AJ17">
    <cfRule type="expression" dxfId="50" priority="54" stopIfTrue="1">
      <formula>IF(WEEKDAY(AJ$5)=1,TRUE,FALSE)</formula>
    </cfRule>
  </conditionalFormatting>
  <conditionalFormatting sqref="AJ16:AJ17">
    <cfRule type="expression" dxfId="49" priority="52" stopIfTrue="1">
      <formula>IF(WEEKDAY(AJ$5)=1,TRUE,FALSE)</formula>
    </cfRule>
  </conditionalFormatting>
  <conditionalFormatting sqref="AJ16:AJ17">
    <cfRule type="expression" dxfId="48" priority="51" stopIfTrue="1">
      <formula>IF(WEEKDAY(AJ$5)=1,TRUE,FALSE)</formula>
    </cfRule>
  </conditionalFormatting>
  <conditionalFormatting sqref="AJ16:AJ17">
    <cfRule type="expression" dxfId="47" priority="50" stopIfTrue="1">
      <formula>IF(WEEKDAY(AJ$5)=1,TRUE,FALSE)</formula>
    </cfRule>
  </conditionalFormatting>
  <conditionalFormatting sqref="F16:AI17">
    <cfRule type="expression" dxfId="46" priority="17" stopIfTrue="1">
      <formula>IF(WEEKDAY(F$5)=1,TRUE,FALSE)</formula>
    </cfRule>
  </conditionalFormatting>
  <conditionalFormatting sqref="F16:AI17">
    <cfRule type="expression" dxfId="45" priority="16" stopIfTrue="1">
      <formula>IF(WEEKDAY(F$5)=1,TRUE,FALSE)</formula>
    </cfRule>
  </conditionalFormatting>
  <conditionalFormatting sqref="F13:AJ14">
    <cfRule type="expression" dxfId="44" priority="4" stopIfTrue="1">
      <formula>IF(WEEKDAY(F$5)=1,TRUE,FALSE)</formula>
    </cfRule>
  </conditionalFormatting>
  <conditionalFormatting sqref="F13:AJ14">
    <cfRule type="expression" dxfId="43" priority="3" stopIfTrue="1">
      <formula>IF(WEEKDAY(F$5)=1,TRUE,FALSE)</formula>
    </cfRule>
  </conditionalFormatting>
  <conditionalFormatting sqref="F11:AJ12">
    <cfRule type="expression" dxfId="42" priority="2" stopIfTrue="1">
      <formula>IF(WEEKDAY(F$5)=1,TRUE,FALSE)</formula>
    </cfRule>
  </conditionalFormatting>
  <conditionalFormatting sqref="F11:AJ12">
    <cfRule type="expression" dxfId="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77"/>
      <c r="C1" s="177"/>
      <c r="D1" s="265" t="str">
        <f>"BẢNG THANH TOÁN LƯƠNG THÁNG"&amp;" "&amp;TEXT($E$4,"mm")&amp;" / "&amp;TEXT($E$4,"yyyy")</f>
        <v>BẢNG THANH TOÁN LƯƠNG THÁNG 06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77"/>
      <c r="C2" s="177"/>
      <c r="D2" s="177"/>
      <c r="E2" s="70"/>
      <c r="F2" s="177"/>
      <c r="G2" s="177"/>
      <c r="H2" s="177"/>
      <c r="I2" s="177"/>
      <c r="J2" s="71"/>
      <c r="K2" s="177"/>
      <c r="L2" s="177"/>
      <c r="M2" s="177"/>
      <c r="N2" s="177"/>
      <c r="O2" s="177"/>
      <c r="P2" s="177"/>
      <c r="Q2" s="177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77"/>
      <c r="C3" s="177"/>
      <c r="D3" s="177"/>
      <c r="E3" s="70"/>
      <c r="F3" s="177"/>
      <c r="G3" s="177"/>
      <c r="H3" s="177"/>
      <c r="I3" s="177"/>
      <c r="J3" s="71"/>
      <c r="K3" s="177"/>
      <c r="L3" s="177"/>
      <c r="M3" s="177"/>
      <c r="N3" s="177"/>
      <c r="O3" s="177"/>
      <c r="P3" s="177"/>
      <c r="Q3" s="177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-6'!$E$4</f>
        <v>42522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78" t="s">
        <v>33</v>
      </c>
      <c r="G7" s="175" t="s">
        <v>17</v>
      </c>
      <c r="H7" s="178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-6'!$B$8:$AS$17,36,0)</f>
        <v>26</v>
      </c>
      <c r="G10" s="133">
        <f>ROUND(E10/$S$2*F10,0)</f>
        <v>3750000</v>
      </c>
      <c r="H10" s="81">
        <f>(VLOOKUP(B10,'CC -6'!$B$8:$AS$17,37,0)+VLOOKUP(B10,'CC -6'!$B$8:$AS$17,38,0))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IF(VLOOKUP($B10,DS,19,0)="x",$E10*L$4,0)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-6'!$B$8:$AS$17,36,0)</f>
        <v>26</v>
      </c>
      <c r="G11" s="133">
        <f>ROUND(E11/$S$2*F11,0)</f>
        <v>3750000</v>
      </c>
      <c r="H11" s="81">
        <f>(VLOOKUP(B11,'CC -6'!$B$8:$AS$17,37,0)+VLOOKUP(B11,'CC -6'!$B$8:$AS$17,38,0))</f>
        <v>0</v>
      </c>
      <c r="I11" s="133">
        <f>ROUND(E11/$S$2*H11,0)</f>
        <v>0</v>
      </c>
      <c r="J11" s="82">
        <f t="shared" ref="J11:J12" si="9">F11+H11</f>
        <v>26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-6'!$B$8:$AS$17,36,0)</f>
        <v>26</v>
      </c>
      <c r="G12" s="133">
        <f>ROUND(E12/$S$2*F12,0)</f>
        <v>3500000</v>
      </c>
      <c r="H12" s="81">
        <f>(VLOOKUP(B12,'CC -6'!$B$8:$AS$17,37,0)+VLOOKUP(B12,'CC -6'!$B$8:$AS$17,38,0))</f>
        <v>0</v>
      </c>
      <c r="I12" s="133">
        <f>ROUND(E12/$S$2*H12,0)</f>
        <v>0</v>
      </c>
      <c r="J12" s="82">
        <f t="shared" si="9"/>
        <v>26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-6'!$B$8:$AS$17,36,0)</f>
        <v>26</v>
      </c>
      <c r="G16" s="133">
        <f>ROUND(E16/$S$2*F16,0)</f>
        <v>3500000</v>
      </c>
      <c r="H16" s="81">
        <f>(VLOOKUP(B16,'CC -6'!$B$8:$AS$17,37,0)+VLOOKUP(B16,'CC -6'!$B$8:$AS$17,38,0))</f>
        <v>0</v>
      </c>
      <c r="I16" s="133">
        <f>ROUND(E16/$S$2*H16,0)</f>
        <v>0</v>
      </c>
      <c r="J16" s="134">
        <f t="shared" ref="J16:K16" si="16">F16+H16</f>
        <v>26</v>
      </c>
      <c r="K16" s="33">
        <f t="shared" si="16"/>
        <v>3500000</v>
      </c>
      <c r="L16" s="34">
        <f t="shared" ref="L16:N16" si="17">IF(VLOOKUP($B16,DS,19,0)="x",$E16*L$4,0)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06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D1:O1"/>
    <mergeCell ref="P1:R1"/>
    <mergeCell ref="A5:A7"/>
    <mergeCell ref="B5:B7"/>
    <mergeCell ref="C5:C7"/>
    <mergeCell ref="D5:D7"/>
    <mergeCell ref="E5:E7"/>
    <mergeCell ref="F5:K5"/>
    <mergeCell ref="P5:P7"/>
    <mergeCell ref="Q5:Q7"/>
    <mergeCell ref="R5:R7"/>
    <mergeCell ref="F6:G6"/>
    <mergeCell ref="H6:I6"/>
    <mergeCell ref="L5:N5"/>
    <mergeCell ref="O5:O7"/>
    <mergeCell ref="K6:K7"/>
    <mergeCell ref="L6:L7"/>
    <mergeCell ref="M6:M7"/>
    <mergeCell ref="N6:N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07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42552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42552</v>
      </c>
      <c r="G5" s="106">
        <f t="shared" ref="G5:AJ5" si="0">F5+1</f>
        <v>42553</v>
      </c>
      <c r="H5" s="106">
        <f t="shared" si="0"/>
        <v>42554</v>
      </c>
      <c r="I5" s="106">
        <f t="shared" si="0"/>
        <v>42555</v>
      </c>
      <c r="J5" s="106">
        <f t="shared" si="0"/>
        <v>42556</v>
      </c>
      <c r="K5" s="106">
        <f t="shared" si="0"/>
        <v>42557</v>
      </c>
      <c r="L5" s="106">
        <f t="shared" si="0"/>
        <v>42558</v>
      </c>
      <c r="M5" s="106">
        <f t="shared" si="0"/>
        <v>42559</v>
      </c>
      <c r="N5" s="106">
        <f t="shared" si="0"/>
        <v>42560</v>
      </c>
      <c r="O5" s="106">
        <f t="shared" si="0"/>
        <v>42561</v>
      </c>
      <c r="P5" s="106">
        <f t="shared" si="0"/>
        <v>42562</v>
      </c>
      <c r="Q5" s="106">
        <f t="shared" si="0"/>
        <v>42563</v>
      </c>
      <c r="R5" s="106">
        <f t="shared" si="0"/>
        <v>42564</v>
      </c>
      <c r="S5" s="106">
        <f t="shared" si="0"/>
        <v>42565</v>
      </c>
      <c r="T5" s="106">
        <f t="shared" si="0"/>
        <v>42566</v>
      </c>
      <c r="U5" s="106">
        <f t="shared" si="0"/>
        <v>42567</v>
      </c>
      <c r="V5" s="106">
        <f t="shared" si="0"/>
        <v>42568</v>
      </c>
      <c r="W5" s="106">
        <f t="shared" si="0"/>
        <v>42569</v>
      </c>
      <c r="X5" s="106">
        <f t="shared" si="0"/>
        <v>42570</v>
      </c>
      <c r="Y5" s="106">
        <f t="shared" si="0"/>
        <v>42571</v>
      </c>
      <c r="Z5" s="106">
        <f t="shared" si="0"/>
        <v>42572</v>
      </c>
      <c r="AA5" s="106">
        <f t="shared" si="0"/>
        <v>42573</v>
      </c>
      <c r="AB5" s="106">
        <f t="shared" si="0"/>
        <v>42574</v>
      </c>
      <c r="AC5" s="106">
        <f t="shared" si="0"/>
        <v>42575</v>
      </c>
      <c r="AD5" s="106">
        <f t="shared" si="0"/>
        <v>42576</v>
      </c>
      <c r="AE5" s="106">
        <f t="shared" si="0"/>
        <v>42577</v>
      </c>
      <c r="AF5" s="106">
        <f t="shared" si="0"/>
        <v>42578</v>
      </c>
      <c r="AG5" s="106">
        <f t="shared" si="0"/>
        <v>42579</v>
      </c>
      <c r="AH5" s="106">
        <f>AG5+1</f>
        <v>42580</v>
      </c>
      <c r="AI5" s="106">
        <f t="shared" si="0"/>
        <v>42581</v>
      </c>
      <c r="AJ5" s="106">
        <f t="shared" si="0"/>
        <v>42582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26</v>
      </c>
      <c r="AO9" s="249">
        <v>0</v>
      </c>
      <c r="AP9" s="237"/>
      <c r="AQ9" s="237"/>
      <c r="AR9" s="237"/>
      <c r="AS9" s="239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5">
        <f>((SUM(F11:AJ11))/8)-(SUMIF($F$6:$AJ$6,"C.Nhật",F11:AJ11)/8)</f>
        <v>26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26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45">
        <f>((SUM(F13:AJ13))/8)-(SUMIF($F$6:$AJ$6,"C.Nhật",F13:AJ13)/8)</f>
        <v>26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26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45">
        <f t="shared" ref="AK16" si="2">((SUM(F16:AJ16))/8)-(SUMIF($F$6:$AJ$6,"C.Nhật",F16:AJ16)/8)</f>
        <v>26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26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Q16:AQ17"/>
    <mergeCell ref="AR16:AR17"/>
    <mergeCell ref="AS16:AS17"/>
    <mergeCell ref="AO16:AO17"/>
    <mergeCell ref="AP16:AP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6:AJ17">
    <cfRule type="expression" dxfId="40" priority="44" stopIfTrue="1">
      <formula>IF(WEEKDAY(F$5)=1,TRUE,FALSE)</formula>
    </cfRule>
  </conditionalFormatting>
  <conditionalFormatting sqref="F9:AJ10">
    <cfRule type="expression" dxfId="39" priority="43" stopIfTrue="1">
      <formula>IF(WEEKDAY(F$5)=1,TRUE,FALSE)</formula>
    </cfRule>
  </conditionalFormatting>
  <conditionalFormatting sqref="F13:AJ14">
    <cfRule type="expression" dxfId="38" priority="4" stopIfTrue="1">
      <formula>IF(WEEKDAY(F$5)=1,TRUE,FALSE)</formula>
    </cfRule>
  </conditionalFormatting>
  <conditionalFormatting sqref="F13:AJ14">
    <cfRule type="expression" dxfId="37" priority="3" stopIfTrue="1">
      <formula>IF(WEEKDAY(F$5)=1,TRUE,FALSE)</formula>
    </cfRule>
  </conditionalFormatting>
  <conditionalFormatting sqref="F11:AJ12">
    <cfRule type="expression" dxfId="36" priority="2" stopIfTrue="1">
      <formula>IF(WEEKDAY(F$5)=1,TRUE,FALSE)</formula>
    </cfRule>
  </conditionalFormatting>
  <conditionalFormatting sqref="F11:AJ12">
    <cfRule type="expression" dxfId="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65" t="str">
        <f>"BẢNG THANH TOÁN LƯƠNG THÁNG"&amp;" "&amp;TEXT($E$4,"mm")&amp;" / "&amp;TEXT($E$4,"yyyy")</f>
        <v>BẢNG THANH TOÁN LƯƠNG THÁNG 07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-7'!$E$4</f>
        <v>42552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82" t="s">
        <v>33</v>
      </c>
      <c r="G7" s="180" t="s">
        <v>17</v>
      </c>
      <c r="H7" s="182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-7'!$B$8:$AS$17,36,0)</f>
        <v>26</v>
      </c>
      <c r="G10" s="133">
        <f>ROUND(E10/$S$2*F10,0)</f>
        <v>3750000</v>
      </c>
      <c r="H10" s="81">
        <f>(VLOOKUP(B10,'CC -7'!$B$8:$AS$17,37,0)+VLOOKUP(B10,'CC -7'!$B$8:$AS$17,38,0))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IF(VLOOKUP($B10,DS,21,0)="x",$E10*L$4,0)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-7'!$B$8:$AS$17,36,0)</f>
        <v>26</v>
      </c>
      <c r="G11" s="133">
        <f>ROUND(E11/$S$2*F11,0)</f>
        <v>3750000</v>
      </c>
      <c r="H11" s="81">
        <f>(VLOOKUP(B11,'CC -7'!$B$8:$AS$17,37,0)+VLOOKUP(B11,'CC -7'!$B$8:$AS$17,38,0))</f>
        <v>0</v>
      </c>
      <c r="I11" s="133">
        <f>ROUND(E11/$S$2*H11,0)</f>
        <v>0</v>
      </c>
      <c r="J11" s="82">
        <f t="shared" ref="J11:J12" si="9">F11+H11</f>
        <v>26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-7'!$B$8:$AS$17,36,0)</f>
        <v>26</v>
      </c>
      <c r="G12" s="133">
        <f>ROUND(E12/$S$2*F12,0)</f>
        <v>3500000</v>
      </c>
      <c r="H12" s="81">
        <f>(VLOOKUP(B12,'CC -7'!$B$8:$AS$17,37,0)+VLOOKUP(B12,'CC -7'!$B$8:$AS$17,38,0))</f>
        <v>0</v>
      </c>
      <c r="I12" s="133">
        <f>ROUND(E12/$S$2*H12,0)</f>
        <v>0</v>
      </c>
      <c r="J12" s="82">
        <f t="shared" si="9"/>
        <v>26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-7'!$B$8:$AS$17,36,0)</f>
        <v>26</v>
      </c>
      <c r="G16" s="133">
        <f>ROUND(E16/$S$2*F16,0)</f>
        <v>3500000</v>
      </c>
      <c r="H16" s="81">
        <f>(VLOOKUP(B16,'CC -7'!$B$8:$AS$17,37,0)+VLOOKUP(B16,'CC -7'!$B$8:$AS$17,38,0))</f>
        <v>0</v>
      </c>
      <c r="I16" s="133">
        <f>ROUND(E16/$S$2*H16,0)</f>
        <v>0</v>
      </c>
      <c r="J16" s="134">
        <f t="shared" ref="J16:K16" si="16">F16+H16</f>
        <v>26</v>
      </c>
      <c r="K16" s="33">
        <f t="shared" si="16"/>
        <v>3500000</v>
      </c>
      <c r="L16" s="34">
        <f t="shared" ref="L16:N16" si="17">IF(VLOOKUP($B16,DS,21,0)="x",$E16*L$4,0)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07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08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42583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42583</v>
      </c>
      <c r="G5" s="106">
        <f t="shared" ref="G5:AJ5" si="0">F5+1</f>
        <v>42584</v>
      </c>
      <c r="H5" s="106">
        <f t="shared" si="0"/>
        <v>42585</v>
      </c>
      <c r="I5" s="106">
        <f t="shared" si="0"/>
        <v>42586</v>
      </c>
      <c r="J5" s="106">
        <f t="shared" si="0"/>
        <v>42587</v>
      </c>
      <c r="K5" s="106">
        <f t="shared" si="0"/>
        <v>42588</v>
      </c>
      <c r="L5" s="106">
        <f t="shared" si="0"/>
        <v>42589</v>
      </c>
      <c r="M5" s="106">
        <f t="shared" si="0"/>
        <v>42590</v>
      </c>
      <c r="N5" s="106">
        <f t="shared" si="0"/>
        <v>42591</v>
      </c>
      <c r="O5" s="106">
        <f t="shared" si="0"/>
        <v>42592</v>
      </c>
      <c r="P5" s="106">
        <f t="shared" si="0"/>
        <v>42593</v>
      </c>
      <c r="Q5" s="106">
        <f t="shared" si="0"/>
        <v>42594</v>
      </c>
      <c r="R5" s="106">
        <f t="shared" si="0"/>
        <v>42595</v>
      </c>
      <c r="S5" s="106">
        <f t="shared" si="0"/>
        <v>42596</v>
      </c>
      <c r="T5" s="106">
        <f t="shared" si="0"/>
        <v>42597</v>
      </c>
      <c r="U5" s="106">
        <f t="shared" si="0"/>
        <v>42598</v>
      </c>
      <c r="V5" s="106">
        <f t="shared" si="0"/>
        <v>42599</v>
      </c>
      <c r="W5" s="106">
        <f t="shared" si="0"/>
        <v>42600</v>
      </c>
      <c r="X5" s="106">
        <f t="shared" si="0"/>
        <v>42601</v>
      </c>
      <c r="Y5" s="106">
        <f t="shared" si="0"/>
        <v>42602</v>
      </c>
      <c r="Z5" s="106">
        <f t="shared" si="0"/>
        <v>42603</v>
      </c>
      <c r="AA5" s="106">
        <f t="shared" si="0"/>
        <v>42604</v>
      </c>
      <c r="AB5" s="106">
        <f t="shared" si="0"/>
        <v>42605</v>
      </c>
      <c r="AC5" s="106">
        <f t="shared" si="0"/>
        <v>42606</v>
      </c>
      <c r="AD5" s="106">
        <f t="shared" si="0"/>
        <v>42607</v>
      </c>
      <c r="AE5" s="106">
        <f t="shared" si="0"/>
        <v>42608</v>
      </c>
      <c r="AF5" s="106">
        <f t="shared" si="0"/>
        <v>42609</v>
      </c>
      <c r="AG5" s="106">
        <f t="shared" si="0"/>
        <v>42610</v>
      </c>
      <c r="AH5" s="106">
        <f>AG5+1</f>
        <v>42611</v>
      </c>
      <c r="AI5" s="106">
        <f t="shared" si="0"/>
        <v>42612</v>
      </c>
      <c r="AJ5" s="106">
        <f t="shared" si="0"/>
        <v>42613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T.Hai</v>
      </c>
      <c r="G6" s="158" t="str">
        <f t="shared" ref="G6:AJ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8" t="str">
        <f t="shared" si="1"/>
        <v>T.Ba</v>
      </c>
      <c r="AJ6" s="158" t="str">
        <f t="shared" si="1"/>
        <v>T.Tư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131">
        <v>8</v>
      </c>
      <c r="AJ9" s="131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27</v>
      </c>
      <c r="AO9" s="249">
        <v>0</v>
      </c>
      <c r="AP9" s="237"/>
      <c r="AQ9" s="237"/>
      <c r="AR9" s="237"/>
      <c r="AS9" s="239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131">
        <v>8</v>
      </c>
      <c r="AJ11" s="131">
        <v>8</v>
      </c>
      <c r="AK11" s="245">
        <f>((SUM(F11:AJ11))/8)-(SUMIF($F$6:$AJ$6,"C.Nhật",F11:AJ11)/8)</f>
        <v>27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27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/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/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/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/>
      <c r="AH13" s="131">
        <v>8</v>
      </c>
      <c r="AI13" s="131">
        <v>8</v>
      </c>
      <c r="AJ13" s="131">
        <v>8</v>
      </c>
      <c r="AK13" s="245">
        <f>((SUM(F13:AJ13))/8)-(SUMIF($F$6:$AJ$6,"C.Nhật",F13:AJ13)/8)</f>
        <v>27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27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/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/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/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/>
      <c r="AH16" s="131">
        <v>8</v>
      </c>
      <c r="AI16" s="131">
        <v>8</v>
      </c>
      <c r="AJ16" s="131">
        <v>8</v>
      </c>
      <c r="AK16" s="245">
        <f t="shared" ref="AK16" si="2">((SUM(F16:AJ16))/8)-(SUMIF($F$6:$AJ$6,"C.Nhật",F16:AJ16)/8)</f>
        <v>27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27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3:AL14"/>
    <mergeCell ref="AM13:AM14"/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</mergeCells>
  <conditionalFormatting sqref="F5:AJ6 F9:AJ10 F16:AJ17">
    <cfRule type="expression" dxfId="34" priority="44" stopIfTrue="1">
      <formula>IF(WEEKDAY(F$5)=1,TRUE,FALSE)</formula>
    </cfRule>
  </conditionalFormatting>
  <conditionalFormatting sqref="F9:AJ10">
    <cfRule type="expression" dxfId="33" priority="43" stopIfTrue="1">
      <formula>IF(WEEKDAY(F$5)=1,TRUE,FALSE)</formula>
    </cfRule>
  </conditionalFormatting>
  <conditionalFormatting sqref="F13:AJ14">
    <cfRule type="expression" dxfId="32" priority="4" stopIfTrue="1">
      <formula>IF(WEEKDAY(F$5)=1,TRUE,FALSE)</formula>
    </cfRule>
  </conditionalFormatting>
  <conditionalFormatting sqref="F13:AJ14">
    <cfRule type="expression" dxfId="31" priority="3" stopIfTrue="1">
      <formula>IF(WEEKDAY(F$5)=1,TRUE,FALSE)</formula>
    </cfRule>
  </conditionalFormatting>
  <conditionalFormatting sqref="F11:AJ12">
    <cfRule type="expression" dxfId="30" priority="2" stopIfTrue="1">
      <formula>IF(WEEKDAY(F$5)=1,TRUE,FALSE)</formula>
    </cfRule>
  </conditionalFormatting>
  <conditionalFormatting sqref="F11:AJ12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65" t="str">
        <f>"BẢNG THANH TOÁN LƯƠNG THÁNG"&amp;" "&amp;TEXT($E$4,"mm")&amp;" / "&amp;TEXT($E$4,"yyyy")</f>
        <v>BẢNG THANH TOÁN LƯƠNG THÁNG 08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MAX(F10:F18)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- 8'!$E$4</f>
        <v>42583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82" t="s">
        <v>33</v>
      </c>
      <c r="G7" s="180" t="s">
        <v>17</v>
      </c>
      <c r="H7" s="182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- 8'!$B$8:$AS$17,36,0)</f>
        <v>27</v>
      </c>
      <c r="G10" s="133">
        <f>ROUND(E10/$S$2*F10,0)</f>
        <v>3750000</v>
      </c>
      <c r="H10" s="81">
        <f>(VLOOKUP(B10,'CC - 8'!$B$8:$AS$17,37,0)+VLOOKUP(B10,'CC - 8'!$B$8:$AS$17,38,0))</f>
        <v>0</v>
      </c>
      <c r="I10" s="133">
        <f>ROUND(E10/$S$2*H10,0)</f>
        <v>0</v>
      </c>
      <c r="J10" s="82">
        <f t="shared" ref="J10" si="3">F10+H10</f>
        <v>27</v>
      </c>
      <c r="K10" s="33">
        <f>G10+I10</f>
        <v>3750000</v>
      </c>
      <c r="L10" s="34">
        <f t="shared" ref="L10:N12" si="4">IF(VLOOKUP($B10,DS,23,0)="x",$E10*L$4,0)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- 8'!$B$8:$AS$17,36,0)</f>
        <v>27</v>
      </c>
      <c r="G11" s="133">
        <f>ROUND(E11/$S$2*F11,0)</f>
        <v>3750000</v>
      </c>
      <c r="H11" s="81">
        <f>(VLOOKUP(B11,'CC - 8'!$B$8:$AS$17,37,0)+VLOOKUP(B11,'CC - 8'!$B$8:$AS$17,38,0))</f>
        <v>0</v>
      </c>
      <c r="I11" s="133">
        <f>ROUND(E11/$S$2*H11,0)</f>
        <v>0</v>
      </c>
      <c r="J11" s="82">
        <f t="shared" ref="J11:J12" si="9">F11+H11</f>
        <v>27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- 8'!$B$8:$AS$17,36,0)</f>
        <v>27</v>
      </c>
      <c r="G12" s="133">
        <f>ROUND(E12/$S$2*F12,0)</f>
        <v>3500000</v>
      </c>
      <c r="H12" s="81">
        <f>(VLOOKUP(B12,'CC - 8'!$B$8:$AS$17,37,0)+VLOOKUP(B12,'CC - 8'!$B$8:$AS$17,38,0))</f>
        <v>0</v>
      </c>
      <c r="I12" s="133">
        <f>ROUND(E12/$S$2*H12,0)</f>
        <v>0</v>
      </c>
      <c r="J12" s="82">
        <f t="shared" si="9"/>
        <v>27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- 8'!$B$8:$AS$17,36,0)</f>
        <v>27</v>
      </c>
      <c r="G16" s="133">
        <f>ROUND(E16/$S$2*F16,0)</f>
        <v>3500000</v>
      </c>
      <c r="H16" s="81">
        <f>(VLOOKUP(B16,'CC - 8'!$B$8:$AS$17,37,0)+VLOOKUP(B16,'CC - 8'!$B$8:$AS$17,38,0))</f>
        <v>0</v>
      </c>
      <c r="I16" s="133">
        <f>ROUND(E16/$S$2*H16,0)</f>
        <v>0</v>
      </c>
      <c r="J16" s="134">
        <f t="shared" ref="J16:K16" si="16">F16+H16</f>
        <v>27</v>
      </c>
      <c r="K16" s="33">
        <f t="shared" si="16"/>
        <v>3500000</v>
      </c>
      <c r="L16" s="34">
        <f t="shared" ref="L16:N16" si="17">IF(VLOOKUP($B16,DS,23,0)="x",$E16*L$4,0)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08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09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42614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42614</v>
      </c>
      <c r="G5" s="106">
        <f t="shared" ref="G5:AJ5" si="0">F5+1</f>
        <v>42615</v>
      </c>
      <c r="H5" s="106">
        <f t="shared" si="0"/>
        <v>42616</v>
      </c>
      <c r="I5" s="106">
        <f t="shared" si="0"/>
        <v>42617</v>
      </c>
      <c r="J5" s="106">
        <f t="shared" si="0"/>
        <v>42618</v>
      </c>
      <c r="K5" s="106">
        <f t="shared" si="0"/>
        <v>42619</v>
      </c>
      <c r="L5" s="106">
        <f t="shared" si="0"/>
        <v>42620</v>
      </c>
      <c r="M5" s="106">
        <f t="shared" si="0"/>
        <v>42621</v>
      </c>
      <c r="N5" s="106">
        <f t="shared" si="0"/>
        <v>42622</v>
      </c>
      <c r="O5" s="106">
        <f t="shared" si="0"/>
        <v>42623</v>
      </c>
      <c r="P5" s="106">
        <f t="shared" si="0"/>
        <v>42624</v>
      </c>
      <c r="Q5" s="106">
        <f t="shared" si="0"/>
        <v>42625</v>
      </c>
      <c r="R5" s="106">
        <f t="shared" si="0"/>
        <v>42626</v>
      </c>
      <c r="S5" s="106">
        <f t="shared" si="0"/>
        <v>42627</v>
      </c>
      <c r="T5" s="106">
        <f t="shared" si="0"/>
        <v>42628</v>
      </c>
      <c r="U5" s="106">
        <f t="shared" si="0"/>
        <v>42629</v>
      </c>
      <c r="V5" s="106">
        <f t="shared" si="0"/>
        <v>42630</v>
      </c>
      <c r="W5" s="106">
        <f t="shared" si="0"/>
        <v>42631</v>
      </c>
      <c r="X5" s="106">
        <f t="shared" si="0"/>
        <v>42632</v>
      </c>
      <c r="Y5" s="106">
        <f t="shared" si="0"/>
        <v>42633</v>
      </c>
      <c r="Z5" s="106">
        <f t="shared" si="0"/>
        <v>42634</v>
      </c>
      <c r="AA5" s="106">
        <f t="shared" si="0"/>
        <v>42635</v>
      </c>
      <c r="AB5" s="106">
        <f t="shared" si="0"/>
        <v>42636</v>
      </c>
      <c r="AC5" s="106">
        <f t="shared" si="0"/>
        <v>42637</v>
      </c>
      <c r="AD5" s="106">
        <f t="shared" si="0"/>
        <v>42638</v>
      </c>
      <c r="AE5" s="106">
        <f t="shared" si="0"/>
        <v>42639</v>
      </c>
      <c r="AF5" s="106">
        <f t="shared" si="0"/>
        <v>42640</v>
      </c>
      <c r="AG5" s="106">
        <f t="shared" si="0"/>
        <v>42641</v>
      </c>
      <c r="AH5" s="106">
        <f>AG5+1</f>
        <v>42642</v>
      </c>
      <c r="AI5" s="106">
        <f t="shared" si="0"/>
        <v>42643</v>
      </c>
      <c r="AJ5" s="106">
        <f t="shared" si="0"/>
        <v>42644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/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25</v>
      </c>
      <c r="AO9" s="249">
        <v>0</v>
      </c>
      <c r="AP9" s="237"/>
      <c r="AQ9" s="237"/>
      <c r="AR9" s="237"/>
      <c r="AS9" s="239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/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5">
        <f>((SUM(F11:AJ11))/8)-(SUMIF($F$6:$AJ$6,"C.Nhật",F11:AJ11)/8)</f>
        <v>25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25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/>
      <c r="H13" s="131">
        <v>8</v>
      </c>
      <c r="I13" s="131"/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/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/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/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45">
        <f>((SUM(F13:AJ13))/8)-(SUMIF($F$6:$AJ$6,"C.Nhật",F13:AJ13)/8)</f>
        <v>25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25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/>
      <c r="H16" s="131">
        <v>8</v>
      </c>
      <c r="I16" s="131"/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/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/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/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45">
        <f t="shared" ref="AK16" si="2">((SUM(F16:AJ16))/8)-(SUMIF($F$6:$AJ$6,"C.Nhật",F16:AJ16)/8)</f>
        <v>25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25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3:AL14"/>
    <mergeCell ref="AM13:AM14"/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</mergeCells>
  <conditionalFormatting sqref="F5:AJ6 F9:AJ10 F16:AI17">
    <cfRule type="expression" dxfId="28" priority="61" stopIfTrue="1">
      <formula>IF(WEEKDAY(F$5)=1,TRUE,FALSE)</formula>
    </cfRule>
  </conditionalFormatting>
  <conditionalFormatting sqref="F9:AJ10">
    <cfRule type="expression" dxfId="27" priority="60" stopIfTrue="1">
      <formula>IF(WEEKDAY(F$5)=1,TRUE,FALSE)</formula>
    </cfRule>
  </conditionalFormatting>
  <conditionalFormatting sqref="AJ16:AJ17">
    <cfRule type="expression" dxfId="26" priority="47" stopIfTrue="1">
      <formula>IF(WEEKDAY(AJ$5)=1,TRUE,FALSE)</formula>
    </cfRule>
  </conditionalFormatting>
  <conditionalFormatting sqref="AJ16:AJ17">
    <cfRule type="expression" dxfId="25" priority="46" stopIfTrue="1">
      <formula>IF(WEEKDAY(AJ$5)=1,TRUE,FALSE)</formula>
    </cfRule>
  </conditionalFormatting>
  <conditionalFormatting sqref="AJ16:AJ17">
    <cfRule type="expression" dxfId="24" priority="45" stopIfTrue="1">
      <formula>IF(WEEKDAY(AJ$5)=1,TRUE,FALSE)</formula>
    </cfRule>
  </conditionalFormatting>
  <conditionalFormatting sqref="AJ16:AJ17">
    <cfRule type="expression" dxfId="23" priority="44" stopIfTrue="1">
      <formula>IF(WEEKDAY(AJ$5)=1,TRUE,FALSE)</formula>
    </cfRule>
  </conditionalFormatting>
  <conditionalFormatting sqref="AJ16:AJ17">
    <cfRule type="expression" dxfId="22" priority="43" stopIfTrue="1">
      <formula>IF(WEEKDAY(AJ$5)=1,TRUE,FALSE)</formula>
    </cfRule>
  </conditionalFormatting>
  <conditionalFormatting sqref="AJ16:AJ17">
    <cfRule type="expression" dxfId="21" priority="42" stopIfTrue="1">
      <formula>IF(WEEKDAY(AJ$5)=1,TRUE,FALSE)</formula>
    </cfRule>
  </conditionalFormatting>
  <conditionalFormatting sqref="AJ16:AJ17">
    <cfRule type="expression" dxfId="20" priority="41" stopIfTrue="1">
      <formula>IF(WEEKDAY(AJ$5)=1,TRUE,FALSE)</formula>
    </cfRule>
  </conditionalFormatting>
  <conditionalFormatting sqref="F13:AJ14">
    <cfRule type="expression" dxfId="19" priority="4" stopIfTrue="1">
      <formula>IF(WEEKDAY(F$5)=1,TRUE,FALSE)</formula>
    </cfRule>
  </conditionalFormatting>
  <conditionalFormatting sqref="F13:AJ14">
    <cfRule type="expression" dxfId="18" priority="3" stopIfTrue="1">
      <formula>IF(WEEKDAY(F$5)=1,TRUE,FALSE)</formula>
    </cfRule>
  </conditionalFormatting>
  <conditionalFormatting sqref="F11:AJ12">
    <cfRule type="expression" dxfId="17" priority="2" stopIfTrue="1">
      <formula>IF(WEEKDAY(F$5)=1,TRUE,FALSE)</formula>
    </cfRule>
  </conditionalFormatting>
  <conditionalFormatting sqref="F11:AJ12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65" t="str">
        <f>"BẢNG THANH TOÁN LƯƠNG THÁNG"&amp;" "&amp;TEXT($E$4,"mm")&amp;" / "&amp;TEXT($E$4,"yyyy")</f>
        <v>BẢNG THANH TOÁN LƯƠNG THÁNG 09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-9'!$E$4</f>
        <v>42614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82" t="s">
        <v>33</v>
      </c>
      <c r="G7" s="180" t="s">
        <v>17</v>
      </c>
      <c r="H7" s="182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-9'!$B$8:$AS$17,36,0)</f>
        <v>25</v>
      </c>
      <c r="G10" s="133">
        <f>ROUND(E10/$S$2*F10,0)</f>
        <v>3750000</v>
      </c>
      <c r="H10" s="81">
        <f>(VLOOKUP(B10,'CC -9'!$B$8:$AS$17,37,0)+VLOOKUP(B10,'CC -9'!$B$8:$AS$17,38,0))</f>
        <v>0</v>
      </c>
      <c r="I10" s="133">
        <f>ROUND(E10/$S$2*H10,0)</f>
        <v>0</v>
      </c>
      <c r="J10" s="82">
        <f t="shared" ref="J10" si="3">F10+H10</f>
        <v>25</v>
      </c>
      <c r="K10" s="33">
        <f>G10+I10</f>
        <v>3750000</v>
      </c>
      <c r="L10" s="34">
        <f t="shared" ref="L10:N12" si="4">IF(VLOOKUP($B10,DS,25,0)="x",$E10*L$4,0)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-9'!$B$8:$AS$17,36,0)</f>
        <v>25</v>
      </c>
      <c r="G11" s="133">
        <f>ROUND(E11/$S$2*F11,0)</f>
        <v>3750000</v>
      </c>
      <c r="H11" s="81">
        <f>(VLOOKUP(B11,'CC -9'!$B$8:$AS$17,37,0)+VLOOKUP(B11,'CC -9'!$B$8:$AS$17,38,0))</f>
        <v>0</v>
      </c>
      <c r="I11" s="133">
        <f>ROUND(E11/$S$2*H11,0)</f>
        <v>0</v>
      </c>
      <c r="J11" s="82">
        <f t="shared" ref="J11:J12" si="9">F11+H11</f>
        <v>25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-9'!$B$8:$AS$17,36,0)</f>
        <v>25</v>
      </c>
      <c r="G12" s="133">
        <f>ROUND(E12/$S$2*F12,0)</f>
        <v>3500000</v>
      </c>
      <c r="H12" s="81">
        <f>(VLOOKUP(B12,'CC -9'!$B$8:$AS$17,37,0)+VLOOKUP(B12,'CC -9'!$B$8:$AS$17,38,0))</f>
        <v>0</v>
      </c>
      <c r="I12" s="133">
        <f>ROUND(E12/$S$2*H12,0)</f>
        <v>0</v>
      </c>
      <c r="J12" s="82">
        <f t="shared" si="9"/>
        <v>25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-9'!$B$8:$AS$17,36,0)</f>
        <v>25</v>
      </c>
      <c r="G16" s="133">
        <f>ROUND(E16/$S$2*F16,0)</f>
        <v>3500000</v>
      </c>
      <c r="H16" s="81">
        <f>(VLOOKUP(B16,'CC -9'!$B$8:$AS$17,37,0)+VLOOKUP(B16,'CC -9'!$B$8:$AS$17,38,0))</f>
        <v>0</v>
      </c>
      <c r="I16" s="133">
        <f>ROUND(E16/$S$2*H16,0)</f>
        <v>0</v>
      </c>
      <c r="J16" s="134">
        <f t="shared" ref="J16:K16" si="16">F16+H16</f>
        <v>25</v>
      </c>
      <c r="K16" s="33">
        <f t="shared" si="16"/>
        <v>3500000</v>
      </c>
      <c r="L16" s="34">
        <f t="shared" ref="L16:N16" si="17">IF(VLOOKUP($B16,DS,25,0)="x",$E16*L$4,0)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09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6 K10:K13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K6:K7"/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10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42644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42644</v>
      </c>
      <c r="G5" s="106">
        <f t="shared" ref="G5:AJ5" si="0">F5+1</f>
        <v>42645</v>
      </c>
      <c r="H5" s="106">
        <f t="shared" si="0"/>
        <v>42646</v>
      </c>
      <c r="I5" s="106">
        <f t="shared" si="0"/>
        <v>42647</v>
      </c>
      <c r="J5" s="106">
        <f t="shared" si="0"/>
        <v>42648</v>
      </c>
      <c r="K5" s="106">
        <f t="shared" si="0"/>
        <v>42649</v>
      </c>
      <c r="L5" s="106">
        <f t="shared" si="0"/>
        <v>42650</v>
      </c>
      <c r="M5" s="106">
        <f t="shared" si="0"/>
        <v>42651</v>
      </c>
      <c r="N5" s="106">
        <f t="shared" si="0"/>
        <v>42652</v>
      </c>
      <c r="O5" s="106">
        <f t="shared" si="0"/>
        <v>42653</v>
      </c>
      <c r="P5" s="106">
        <f t="shared" si="0"/>
        <v>42654</v>
      </c>
      <c r="Q5" s="106">
        <f t="shared" si="0"/>
        <v>42655</v>
      </c>
      <c r="R5" s="106">
        <f t="shared" si="0"/>
        <v>42656</v>
      </c>
      <c r="S5" s="106">
        <f t="shared" si="0"/>
        <v>42657</v>
      </c>
      <c r="T5" s="106">
        <f t="shared" si="0"/>
        <v>42658</v>
      </c>
      <c r="U5" s="106">
        <f t="shared" si="0"/>
        <v>42659</v>
      </c>
      <c r="V5" s="106">
        <f t="shared" si="0"/>
        <v>42660</v>
      </c>
      <c r="W5" s="106">
        <f t="shared" si="0"/>
        <v>42661</v>
      </c>
      <c r="X5" s="106">
        <f t="shared" si="0"/>
        <v>42662</v>
      </c>
      <c r="Y5" s="106">
        <f t="shared" si="0"/>
        <v>42663</v>
      </c>
      <c r="Z5" s="106">
        <f t="shared" si="0"/>
        <v>42664</v>
      </c>
      <c r="AA5" s="106">
        <f t="shared" si="0"/>
        <v>42665</v>
      </c>
      <c r="AB5" s="106">
        <f t="shared" si="0"/>
        <v>42666</v>
      </c>
      <c r="AC5" s="106">
        <f t="shared" si="0"/>
        <v>42667</v>
      </c>
      <c r="AD5" s="106">
        <f t="shared" si="0"/>
        <v>42668</v>
      </c>
      <c r="AE5" s="106">
        <f t="shared" si="0"/>
        <v>42669</v>
      </c>
      <c r="AF5" s="106">
        <f t="shared" si="0"/>
        <v>42670</v>
      </c>
      <c r="AG5" s="106">
        <f t="shared" si="0"/>
        <v>42671</v>
      </c>
      <c r="AH5" s="106">
        <f>AG5+1</f>
        <v>42672</v>
      </c>
      <c r="AI5" s="106">
        <f t="shared" si="0"/>
        <v>42673</v>
      </c>
      <c r="AJ5" s="106">
        <f t="shared" si="0"/>
        <v>42674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T.Bảy</v>
      </c>
      <c r="G6" s="158" t="str">
        <f t="shared" ref="G6:AJ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8" t="str">
        <f t="shared" si="1"/>
        <v>T.Hai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131">
        <v>8</v>
      </c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26</v>
      </c>
      <c r="AO9" s="249">
        <v>0</v>
      </c>
      <c r="AP9" s="237"/>
      <c r="AQ9" s="237"/>
      <c r="AR9" s="237"/>
      <c r="AS9" s="239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131">
        <v>8</v>
      </c>
      <c r="AK11" s="245">
        <f>((SUM(F11:AJ11))/8)-(SUMIF($F$6:$AJ$6,"C.Nhật",F11:AJ11)/8)</f>
        <v>26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26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/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/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/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/>
      <c r="AJ13" s="131">
        <v>8</v>
      </c>
      <c r="AK13" s="245">
        <f>((SUM(F13:AJ13))/8)-(SUMIF($F$6:$AJ$6,"C.Nhật",F13:AJ13)/8)</f>
        <v>26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26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/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/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/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/>
      <c r="AJ16" s="131">
        <v>8</v>
      </c>
      <c r="AK16" s="245">
        <f t="shared" ref="AK16" si="2">((SUM(F16:AJ16))/8)-(SUMIF($F$6:$AJ$6,"C.Nhật",F16:AJ16)/8)</f>
        <v>26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26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6:A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6:B17"/>
    <mergeCell ref="C16:C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P16:AP17"/>
    <mergeCell ref="AS16:AS17"/>
    <mergeCell ref="AL16:AL17"/>
    <mergeCell ref="AM16:AM17"/>
    <mergeCell ref="AN16:AN17"/>
    <mergeCell ref="AQ16:AQ17"/>
    <mergeCell ref="AR16:AR17"/>
    <mergeCell ref="AO16:AO17"/>
  </mergeCells>
  <conditionalFormatting sqref="F5:AJ6 F9:AJ10 F16:AJ17">
    <cfRule type="expression" dxfId="15" priority="42" stopIfTrue="1">
      <formula>IF(WEEKDAY(F$5)=1,TRUE,FALSE)</formula>
    </cfRule>
  </conditionalFormatting>
  <conditionalFormatting sqref="F9:AJ10">
    <cfRule type="expression" dxfId="14" priority="41" stopIfTrue="1">
      <formula>IF(WEEKDAY(F$5)=1,TRUE,FALSE)</formula>
    </cfRule>
  </conditionalFormatting>
  <conditionalFormatting sqref="F13:AJ14">
    <cfRule type="expression" dxfId="13" priority="4" stopIfTrue="1">
      <formula>IF(WEEKDAY(F$5)=1,TRUE,FALSE)</formula>
    </cfRule>
  </conditionalFormatting>
  <conditionalFormatting sqref="F13:AJ14">
    <cfRule type="expression" dxfId="12" priority="3" stopIfTrue="1">
      <formula>IF(WEEKDAY(F$5)=1,TRUE,FALSE)</formula>
    </cfRule>
  </conditionalFormatting>
  <conditionalFormatting sqref="F11:AJ12">
    <cfRule type="expression" dxfId="11" priority="2" stopIfTrue="1">
      <formula>IF(WEEKDAY(F$5)=1,TRUE,FALSE)</formula>
    </cfRule>
  </conditionalFormatting>
  <conditionalFormatting sqref="F11:AJ12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65" t="str">
        <f>"BẢNG THANH TOÁN LƯƠNG THÁNG"&amp;" "&amp;TEXT($E$4,"mm")&amp;" / "&amp;TEXT($E$4,"yyyy")</f>
        <v>BẢNG THANH TOÁN LƯƠNG THÁNG 10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-10'!$E$4</f>
        <v>42644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99" t="s">
        <v>33</v>
      </c>
      <c r="G7" s="196" t="s">
        <v>17</v>
      </c>
      <c r="H7" s="199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-10'!$B$8:$AS$17,36,0)</f>
        <v>26</v>
      </c>
      <c r="G10" s="133">
        <f>ROUND(E10/$S$2*F10,0)</f>
        <v>3750000</v>
      </c>
      <c r="H10" s="81">
        <f>(VLOOKUP(B10,'CC -10'!$B$8:$AS$17,37,0)+VLOOKUP(B10,'CC -10'!$B$8:$AS$17,38,0))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IF(VLOOKUP($B10,DS,27,0)="x",$E10*L$4,0)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-10'!$B$8:$AS$17,36,0)</f>
        <v>26</v>
      </c>
      <c r="G11" s="133">
        <f>ROUND(E11/$S$2*F11,0)</f>
        <v>3750000</v>
      </c>
      <c r="H11" s="81">
        <f>(VLOOKUP(B11,'CC -10'!$B$8:$AS$17,37,0)+VLOOKUP(B11,'CC -10'!$B$8:$AS$17,38,0))</f>
        <v>0</v>
      </c>
      <c r="I11" s="133">
        <f>ROUND(E11/$S$2*H11,0)</f>
        <v>0</v>
      </c>
      <c r="J11" s="82">
        <f t="shared" ref="J11:J12" si="9">F11+H11</f>
        <v>26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-10'!$B$8:$AS$17,36,0)</f>
        <v>26</v>
      </c>
      <c r="G12" s="133">
        <f>ROUND(E12/$S$2*F12,0)</f>
        <v>3500000</v>
      </c>
      <c r="H12" s="81">
        <f>(VLOOKUP(B12,'CC -10'!$B$8:$AS$17,37,0)+VLOOKUP(B12,'CC -10'!$B$8:$AS$17,38,0))</f>
        <v>0</v>
      </c>
      <c r="I12" s="133">
        <f>ROUND(E12/$S$2*H12,0)</f>
        <v>0</v>
      </c>
      <c r="J12" s="82">
        <f t="shared" si="9"/>
        <v>26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-10'!$B$8:$AS$17,36,0)</f>
        <v>26</v>
      </c>
      <c r="G16" s="133">
        <f>ROUND(E16/$S$2*F16,0)</f>
        <v>3500000</v>
      </c>
      <c r="H16" s="81">
        <f>(VLOOKUP(B16,'CC -10'!$B$8:$AS$17,37,0)+VLOOKUP(B16,'CC -10'!$B$8:$AS$17,38,0))</f>
        <v>0</v>
      </c>
      <c r="I16" s="133">
        <f>ROUND(E16/$S$2*H16,0)</f>
        <v>0</v>
      </c>
      <c r="J16" s="134">
        <f t="shared" ref="J16:K16" si="16">F16+H16</f>
        <v>26</v>
      </c>
      <c r="K16" s="33">
        <f t="shared" si="16"/>
        <v>3500000</v>
      </c>
      <c r="L16" s="34">
        <f t="shared" ref="L16:N16" si="17">IF(VLOOKUP($B16,DS,27,0)="x",$E16*L$4,0)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10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11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42675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42675</v>
      </c>
      <c r="G5" s="106">
        <f t="shared" ref="G5:AI5" si="0">F5+1</f>
        <v>42676</v>
      </c>
      <c r="H5" s="106">
        <f t="shared" si="0"/>
        <v>42677</v>
      </c>
      <c r="I5" s="106">
        <f t="shared" si="0"/>
        <v>42678</v>
      </c>
      <c r="J5" s="106">
        <f t="shared" si="0"/>
        <v>42679</v>
      </c>
      <c r="K5" s="106">
        <f t="shared" si="0"/>
        <v>42680</v>
      </c>
      <c r="L5" s="106">
        <f t="shared" si="0"/>
        <v>42681</v>
      </c>
      <c r="M5" s="106">
        <f t="shared" si="0"/>
        <v>42682</v>
      </c>
      <c r="N5" s="106">
        <f t="shared" si="0"/>
        <v>42683</v>
      </c>
      <c r="O5" s="106">
        <f t="shared" si="0"/>
        <v>42684</v>
      </c>
      <c r="P5" s="106">
        <f t="shared" si="0"/>
        <v>42685</v>
      </c>
      <c r="Q5" s="106">
        <f t="shared" si="0"/>
        <v>42686</v>
      </c>
      <c r="R5" s="106">
        <f t="shared" si="0"/>
        <v>42687</v>
      </c>
      <c r="S5" s="106">
        <f t="shared" si="0"/>
        <v>42688</v>
      </c>
      <c r="T5" s="106">
        <f t="shared" si="0"/>
        <v>42689</v>
      </c>
      <c r="U5" s="106">
        <f t="shared" si="0"/>
        <v>42690</v>
      </c>
      <c r="V5" s="106">
        <f t="shared" si="0"/>
        <v>42691</v>
      </c>
      <c r="W5" s="106">
        <f t="shared" si="0"/>
        <v>42692</v>
      </c>
      <c r="X5" s="106">
        <f t="shared" si="0"/>
        <v>42693</v>
      </c>
      <c r="Y5" s="106">
        <f t="shared" si="0"/>
        <v>42694</v>
      </c>
      <c r="Z5" s="106">
        <f t="shared" si="0"/>
        <v>42695</v>
      </c>
      <c r="AA5" s="106">
        <f t="shared" si="0"/>
        <v>42696</v>
      </c>
      <c r="AB5" s="106">
        <f t="shared" si="0"/>
        <v>42697</v>
      </c>
      <c r="AC5" s="106">
        <f t="shared" si="0"/>
        <v>42698</v>
      </c>
      <c r="AD5" s="106">
        <f t="shared" si="0"/>
        <v>42699</v>
      </c>
      <c r="AE5" s="106">
        <f t="shared" si="0"/>
        <v>42700</v>
      </c>
      <c r="AF5" s="106">
        <f t="shared" si="0"/>
        <v>42701</v>
      </c>
      <c r="AG5" s="106">
        <f t="shared" si="0"/>
        <v>42702</v>
      </c>
      <c r="AH5" s="106">
        <f>AG5+1</f>
        <v>42703</v>
      </c>
      <c r="AI5" s="106">
        <f t="shared" si="0"/>
        <v>42704</v>
      </c>
      <c r="AJ5" s="206"/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T.Ba</v>
      </c>
      <c r="G6" s="158" t="str">
        <f t="shared" ref="G6:AI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/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/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207"/>
      <c r="AK9" s="245">
        <f>((SUM(F9:AI9))/8)-(SUMIF($F$6:$AI$6,"C.Nhật",F9:AI9)/8)</f>
        <v>26</v>
      </c>
      <c r="AL9" s="245">
        <f>SUM(F10:AI10)/8*1.5</f>
        <v>0</v>
      </c>
      <c r="AM9" s="247">
        <f>SUMIF($F$6:$AI$6,"C.Nhật",$F9:$AI10)/8*2</f>
        <v>0</v>
      </c>
      <c r="AN9" s="237">
        <f>SUM(AK9:AM10)</f>
        <v>26</v>
      </c>
      <c r="AO9" s="249">
        <v>0</v>
      </c>
      <c r="AP9" s="237"/>
      <c r="AQ9" s="237"/>
      <c r="AR9" s="237"/>
      <c r="AS9" s="239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08"/>
      <c r="AK10" s="246"/>
      <c r="AL10" s="246"/>
      <c r="AM10" s="248"/>
      <c r="AN10" s="238"/>
      <c r="AO10" s="250"/>
      <c r="AP10" s="238"/>
      <c r="AQ10" s="238"/>
      <c r="AR10" s="238"/>
      <c r="AS10" s="240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/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/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/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/>
      <c r="AG11" s="131">
        <v>8</v>
      </c>
      <c r="AH11" s="131">
        <v>8</v>
      </c>
      <c r="AI11" s="131">
        <v>8</v>
      </c>
      <c r="AJ11" s="207"/>
      <c r="AK11" s="245">
        <f>((SUM(F11:AI11))/8)-(SUMIF($F$6:$AI$6,"C.Nhật",F11:AI11)/8)</f>
        <v>26</v>
      </c>
      <c r="AL11" s="245">
        <f>SUM(F12:AI12)/8*1.5</f>
        <v>0</v>
      </c>
      <c r="AM11" s="247">
        <f>SUMIF($F$6:$AI$6,"C.Nhật",$F11:$AI12)/8*2</f>
        <v>0</v>
      </c>
      <c r="AN11" s="237">
        <f>SUM(AK11:AM12)</f>
        <v>26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08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/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/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/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/>
      <c r="AG13" s="131">
        <v>8</v>
      </c>
      <c r="AH13" s="131">
        <v>8</v>
      </c>
      <c r="AI13" s="131">
        <v>8</v>
      </c>
      <c r="AJ13" s="207"/>
      <c r="AK13" s="245">
        <f>((SUM(F13:AI13))/8)-(SUMIF($F$6:$AI$6,"C.Nhật",F13:AI13)/8)</f>
        <v>26</v>
      </c>
      <c r="AL13" s="245">
        <f>SUM(F14:AI14)/8*1.5</f>
        <v>0</v>
      </c>
      <c r="AM13" s="247">
        <f>SUMIF($F$6:$AI$6,"C.Nhật",$F13:$AI14)/8*2</f>
        <v>0</v>
      </c>
      <c r="AN13" s="237">
        <f>SUM(AK13:AM14)</f>
        <v>26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208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/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/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/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/>
      <c r="AG16" s="131">
        <v>8</v>
      </c>
      <c r="AH16" s="131">
        <v>8</v>
      </c>
      <c r="AI16" s="131">
        <v>8</v>
      </c>
      <c r="AJ16" s="207"/>
      <c r="AK16" s="245">
        <f>((SUM(F16:AI16))/8)-(SUMIF($F$6:$AI$6,"C.Nhật",F16:AI16)/8)</f>
        <v>26</v>
      </c>
      <c r="AL16" s="245">
        <f>SUM(F17:AI17)/8*1.5</f>
        <v>0</v>
      </c>
      <c r="AM16" s="247">
        <f>SUMIF($F$6:$AI$6,"C.Nhật",$F16:$AI17)/8*2</f>
        <v>0</v>
      </c>
      <c r="AN16" s="237">
        <f>SUM(AK16:AM17)</f>
        <v>26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208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L16:AL17"/>
    <mergeCell ref="AM16:AM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6:AN17"/>
    <mergeCell ref="AO16:AO17"/>
    <mergeCell ref="AP16:AP17"/>
    <mergeCell ref="AR16:AR17"/>
    <mergeCell ref="AS16:AS17"/>
    <mergeCell ref="AQ16:AQ17"/>
  </mergeCells>
  <conditionalFormatting sqref="F5:AJ6 F9:AJ10 F16:AI17">
    <cfRule type="expression" dxfId="9" priority="68" stopIfTrue="1">
      <formula>IF(WEEKDAY(F$5)=1,TRUE,FALSE)</formula>
    </cfRule>
  </conditionalFormatting>
  <conditionalFormatting sqref="AJ16:AJ17">
    <cfRule type="expression" dxfId="8" priority="19" stopIfTrue="1">
      <formula>IF(WEEKDAY(AJ$5)=1,TRUE,FALSE)</formula>
    </cfRule>
  </conditionalFormatting>
  <conditionalFormatting sqref="F13:AJ14">
    <cfRule type="expression" dxfId="7" priority="2" stopIfTrue="1">
      <formula>IF(WEEKDAY(F$5)=1,TRUE,FALSE)</formula>
    </cfRule>
  </conditionalFormatting>
  <conditionalFormatting sqref="F11:AJ12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65" t="str">
        <f>"BẢNG THANH TOÁN LƯƠNG THÁNG"&amp;" "&amp;TEXT($E$4,"mm")&amp;" / "&amp;TEXT($E$4,"yyyy")</f>
        <v>BẢNG THANH TOÁN LƯƠNG THÁNG 11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-11'!$E$4</f>
        <v>42675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99" t="s">
        <v>33</v>
      </c>
      <c r="G7" s="196" t="s">
        <v>17</v>
      </c>
      <c r="H7" s="199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-11'!$B$8:$AS$17,36,0)</f>
        <v>26</v>
      </c>
      <c r="G10" s="133">
        <f>ROUND(E10/$S$2*F10,0)</f>
        <v>3750000</v>
      </c>
      <c r="H10" s="81">
        <f>(VLOOKUP(B10,'CC -11'!$B$8:$AS$17,37,0)+VLOOKUP(B10,'CC -11'!$B$8:$AS$17,38,0))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IF(VLOOKUP($B10,DS,29,0)="x",$E10*L$4,0)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-11'!$B$8:$AS$17,36,0)</f>
        <v>26</v>
      </c>
      <c r="G11" s="133">
        <f t="shared" ref="G11:G12" si="9">ROUND(E11/$S$2*F11,0)</f>
        <v>3750000</v>
      </c>
      <c r="H11" s="81">
        <f>(VLOOKUP(B11,'CC -11'!$B$8:$AS$17,37,0)+VLOOKUP(B11,'CC -11'!$B$8:$AS$17,38,0))</f>
        <v>0</v>
      </c>
      <c r="I11" s="133">
        <f>ROUND(E11/$S$2*H11,0)</f>
        <v>0</v>
      </c>
      <c r="J11" s="82">
        <f t="shared" ref="J11:J12" si="10">F11+H11</f>
        <v>26</v>
      </c>
      <c r="K11" s="33">
        <f t="shared" ref="K11:K12" si="11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2">K11-SUM(L11:N11)</f>
        <v>3356250</v>
      </c>
      <c r="P11" s="33"/>
      <c r="Q11" s="39">
        <f t="shared" ref="Q11:Q12" si="13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-11'!$B$8:$AS$17,36,0)</f>
        <v>26</v>
      </c>
      <c r="G12" s="133">
        <f t="shared" si="9"/>
        <v>3500000</v>
      </c>
      <c r="H12" s="81">
        <f>(VLOOKUP(B12,'CC -11'!$B$8:$AS$17,37,0)+VLOOKUP(B12,'CC -11'!$B$8:$AS$17,38,0))</f>
        <v>0</v>
      </c>
      <c r="I12" s="133">
        <f>ROUND(E12/$S$2*H12,0)</f>
        <v>0</v>
      </c>
      <c r="J12" s="82">
        <f t="shared" si="10"/>
        <v>26</v>
      </c>
      <c r="K12" s="33">
        <f t="shared" si="11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2"/>
        <v>3132500</v>
      </c>
      <c r="P12" s="33"/>
      <c r="Q12" s="39">
        <f t="shared" si="13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SUM(E9:E13)</f>
        <v>11000000</v>
      </c>
      <c r="F14" s="128"/>
      <c r="G14" s="128">
        <f>SUM(G9:G13)</f>
        <v>11000000</v>
      </c>
      <c r="H14" s="128"/>
      <c r="I14" s="128">
        <f>SUM(I9:I13)</f>
        <v>0</v>
      </c>
      <c r="J14" s="128"/>
      <c r="K14" s="128">
        <f>SUM(K9:K13)</f>
        <v>11000000</v>
      </c>
      <c r="L14" s="128">
        <f>SUM(L9:L13)</f>
        <v>880000</v>
      </c>
      <c r="M14" s="128">
        <f>SUM(M9:M13)</f>
        <v>165000</v>
      </c>
      <c r="N14" s="128">
        <f>SUM(N9:N13)</f>
        <v>110000</v>
      </c>
      <c r="O14" s="128">
        <f>SUM(O9:O13)</f>
        <v>9845000</v>
      </c>
      <c r="P14" s="128"/>
      <c r="Q14" s="128">
        <f>SUM(Q9:Q13)</f>
        <v>9845000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4">VLOOKUP(B16,DS,2,0)</f>
        <v>Thạch Huy Chạch</v>
      </c>
      <c r="D16" s="104" t="str">
        <f t="shared" ref="D16" si="15">VLOOKUP(B16,DS,3,0)</f>
        <v>Công nhân</v>
      </c>
      <c r="E16" s="79">
        <f t="shared" ref="E16" si="16">VLOOKUP(B16,DS,4,0)</f>
        <v>3500000</v>
      </c>
      <c r="F16" s="81">
        <f>VLOOKUP(B16,'CC -11'!$B$8:$AS$17,36,0)</f>
        <v>26</v>
      </c>
      <c r="G16" s="133">
        <f>ROUND(E16/$S$2*F16,0)</f>
        <v>3500000</v>
      </c>
      <c r="H16" s="81">
        <f>(VLOOKUP(B16,'CC -11'!$B$8:$AS$17,37,0)+VLOOKUP(B16,'CC -11'!$B$8:$AS$17,38,0))</f>
        <v>0</v>
      </c>
      <c r="I16" s="133">
        <f>ROUND(E16/$S$2*H16,0)</f>
        <v>0</v>
      </c>
      <c r="J16" s="134">
        <f t="shared" ref="J16:K16" si="17">F16+H16</f>
        <v>26</v>
      </c>
      <c r="K16" s="33">
        <f t="shared" si="17"/>
        <v>3500000</v>
      </c>
      <c r="L16" s="34">
        <f t="shared" ref="L16:N16" si="18">IF(VLOOKUP($B16,DS,29,0)="x",$E16*L$4,0)</f>
        <v>280000</v>
      </c>
      <c r="M16" s="34">
        <f t="shared" si="18"/>
        <v>52500</v>
      </c>
      <c r="N16" s="34">
        <f t="shared" si="18"/>
        <v>35000</v>
      </c>
      <c r="O16" s="33">
        <f t="shared" ref="O16" si="19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0">SUM(K15:K17)</f>
        <v>3500000</v>
      </c>
      <c r="L18" s="128">
        <f t="shared" si="20"/>
        <v>280000</v>
      </c>
      <c r="M18" s="128">
        <f t="shared" si="20"/>
        <v>52500</v>
      </c>
      <c r="N18" s="128">
        <f t="shared" si="20"/>
        <v>35000</v>
      </c>
      <c r="O18" s="128">
        <f t="shared" si="20"/>
        <v>3132500</v>
      </c>
      <c r="P18" s="128">
        <f t="shared" si="20"/>
        <v>0</v>
      </c>
      <c r="Q18" s="128">
        <f t="shared" si="20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11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12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1" t="s">
        <v>76</v>
      </c>
      <c r="AN1" s="252"/>
      <c r="AO1" s="252"/>
      <c r="AP1" s="252"/>
      <c r="AQ1" s="252"/>
      <c r="AR1" s="252"/>
      <c r="AS1" s="253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42705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4" t="s">
        <v>25</v>
      </c>
      <c r="B5" s="254" t="s">
        <v>3</v>
      </c>
      <c r="C5" s="254" t="s">
        <v>1</v>
      </c>
      <c r="D5" s="256" t="s">
        <v>26</v>
      </c>
      <c r="E5" s="254" t="s">
        <v>27</v>
      </c>
      <c r="F5" s="106">
        <f>+E4</f>
        <v>42705</v>
      </c>
      <c r="G5" s="106">
        <f t="shared" ref="G5:AJ5" si="0">F5+1</f>
        <v>42706</v>
      </c>
      <c r="H5" s="106">
        <f t="shared" si="0"/>
        <v>42707</v>
      </c>
      <c r="I5" s="106">
        <f t="shared" si="0"/>
        <v>42708</v>
      </c>
      <c r="J5" s="106">
        <f t="shared" si="0"/>
        <v>42709</v>
      </c>
      <c r="K5" s="106">
        <f t="shared" si="0"/>
        <v>42710</v>
      </c>
      <c r="L5" s="106">
        <f t="shared" si="0"/>
        <v>42711</v>
      </c>
      <c r="M5" s="106">
        <f t="shared" si="0"/>
        <v>42712</v>
      </c>
      <c r="N5" s="106">
        <f t="shared" si="0"/>
        <v>42713</v>
      </c>
      <c r="O5" s="106">
        <f t="shared" si="0"/>
        <v>42714</v>
      </c>
      <c r="P5" s="106">
        <f t="shared" si="0"/>
        <v>42715</v>
      </c>
      <c r="Q5" s="106">
        <f t="shared" si="0"/>
        <v>42716</v>
      </c>
      <c r="R5" s="106">
        <f t="shared" si="0"/>
        <v>42717</v>
      </c>
      <c r="S5" s="106">
        <f t="shared" si="0"/>
        <v>42718</v>
      </c>
      <c r="T5" s="106">
        <f t="shared" si="0"/>
        <v>42719</v>
      </c>
      <c r="U5" s="106">
        <f t="shared" si="0"/>
        <v>42720</v>
      </c>
      <c r="V5" s="106">
        <f t="shared" si="0"/>
        <v>42721</v>
      </c>
      <c r="W5" s="106">
        <f t="shared" si="0"/>
        <v>42722</v>
      </c>
      <c r="X5" s="106">
        <f t="shared" si="0"/>
        <v>42723</v>
      </c>
      <c r="Y5" s="106">
        <f t="shared" si="0"/>
        <v>42724</v>
      </c>
      <c r="Z5" s="106">
        <f t="shared" si="0"/>
        <v>42725</v>
      </c>
      <c r="AA5" s="106">
        <f t="shared" si="0"/>
        <v>42726</v>
      </c>
      <c r="AB5" s="106">
        <f t="shared" si="0"/>
        <v>42727</v>
      </c>
      <c r="AC5" s="106">
        <f t="shared" si="0"/>
        <v>42728</v>
      </c>
      <c r="AD5" s="106">
        <f t="shared" si="0"/>
        <v>42729</v>
      </c>
      <c r="AE5" s="106">
        <f t="shared" si="0"/>
        <v>42730</v>
      </c>
      <c r="AF5" s="106">
        <f t="shared" si="0"/>
        <v>42731</v>
      </c>
      <c r="AG5" s="106">
        <f t="shared" si="0"/>
        <v>42732</v>
      </c>
      <c r="AH5" s="106">
        <f>AG5+1</f>
        <v>42733</v>
      </c>
      <c r="AI5" s="106">
        <f t="shared" si="0"/>
        <v>42734</v>
      </c>
      <c r="AJ5" s="106">
        <f t="shared" si="0"/>
        <v>42735</v>
      </c>
      <c r="AK5" s="257" t="s">
        <v>14</v>
      </c>
      <c r="AL5" s="258"/>
      <c r="AM5" s="259"/>
      <c r="AN5" s="260" t="s">
        <v>38</v>
      </c>
      <c r="AO5" s="260" t="s">
        <v>34</v>
      </c>
      <c r="AP5" s="260" t="s">
        <v>35</v>
      </c>
      <c r="AQ5" s="260" t="s">
        <v>36</v>
      </c>
      <c r="AR5" s="260" t="s">
        <v>37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5"/>
      <c r="B6" s="255"/>
      <c r="C6" s="255"/>
      <c r="D6" s="255"/>
      <c r="E6" s="255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1">
        <v>1</v>
      </c>
      <c r="B9" s="241" t="s">
        <v>72</v>
      </c>
      <c r="C9" s="243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7">
        <f>SUM(AK9:AM10)</f>
        <v>27</v>
      </c>
      <c r="AO9" s="249">
        <v>0</v>
      </c>
      <c r="AP9" s="237"/>
      <c r="AQ9" s="237"/>
      <c r="AR9" s="237"/>
      <c r="AS9" s="239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2"/>
      <c r="B10" s="242"/>
      <c r="C10" s="244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6"/>
      <c r="AL10" s="246"/>
      <c r="AM10" s="248"/>
      <c r="AN10" s="238"/>
      <c r="AO10" s="250"/>
      <c r="AP10" s="238"/>
      <c r="AQ10" s="238"/>
      <c r="AR10" s="238"/>
      <c r="AS10" s="240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1">
        <v>2</v>
      </c>
      <c r="B11" s="241" t="s">
        <v>73</v>
      </c>
      <c r="C11" s="243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>
        <v>8</v>
      </c>
      <c r="AK11" s="245">
        <f>((SUM(F11:AJ11))/8)-(SUMIF($F$6:$AJ$6,"C.Nhật",F11:AJ11)/8)</f>
        <v>27</v>
      </c>
      <c r="AL11" s="245">
        <f>SUM(F12:AJ12)/8*1.5</f>
        <v>0</v>
      </c>
      <c r="AM11" s="247">
        <f>SUMIF($F$6:$AJ$6,"C.Nhật",$F11:$AJ12)/8*2</f>
        <v>0</v>
      </c>
      <c r="AN11" s="237">
        <f>SUM(AK11:AM12)</f>
        <v>27</v>
      </c>
      <c r="AO11" s="249">
        <v>0</v>
      </c>
      <c r="AP11" s="237"/>
      <c r="AQ11" s="237"/>
      <c r="AR11" s="237"/>
      <c r="AS11" s="239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2"/>
      <c r="B12" s="242"/>
      <c r="C12" s="244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6"/>
      <c r="AL12" s="246"/>
      <c r="AM12" s="248"/>
      <c r="AN12" s="238"/>
      <c r="AO12" s="250"/>
      <c r="AP12" s="238"/>
      <c r="AQ12" s="238"/>
      <c r="AR12" s="238"/>
      <c r="AS12" s="240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1">
        <v>3</v>
      </c>
      <c r="B13" s="241" t="s">
        <v>93</v>
      </c>
      <c r="C13" s="243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/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/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/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/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>
        <v>8</v>
      </c>
      <c r="AK13" s="245">
        <f>((SUM(F13:AJ13))/8)-(SUMIF($F$6:$AJ$6,"C.Nhật",F13:AJ13)/8)</f>
        <v>27</v>
      </c>
      <c r="AL13" s="245">
        <f>SUM(F14:AJ14)/8*1.5</f>
        <v>0</v>
      </c>
      <c r="AM13" s="247">
        <f>SUMIF($F$6:$AJ$6,"C.Nhật",$F13:$AJ14)/8*2</f>
        <v>0</v>
      </c>
      <c r="AN13" s="237">
        <f>SUM(AK13:AM14)</f>
        <v>27</v>
      </c>
      <c r="AO13" s="249">
        <v>0</v>
      </c>
      <c r="AP13" s="237"/>
      <c r="AQ13" s="237"/>
      <c r="AR13" s="237"/>
      <c r="AS13" s="239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2"/>
      <c r="B14" s="242"/>
      <c r="C14" s="244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6"/>
      <c r="AL14" s="246"/>
      <c r="AM14" s="248"/>
      <c r="AN14" s="238"/>
      <c r="AO14" s="250"/>
      <c r="AP14" s="238"/>
      <c r="AQ14" s="238"/>
      <c r="AR14" s="238"/>
      <c r="AS14" s="240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1">
        <v>1</v>
      </c>
      <c r="B16" s="241" t="s">
        <v>74</v>
      </c>
      <c r="C16" s="243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/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/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/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/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>
        <v>8</v>
      </c>
      <c r="AK16" s="245">
        <f t="shared" ref="AK16" si="2">((SUM(F16:AJ16))/8)-(SUMIF($F$6:$AJ$6,"C.Nhật",F16:AJ16)/8)</f>
        <v>27</v>
      </c>
      <c r="AL16" s="245">
        <f t="shared" ref="AL16" si="3">SUM(F17:AJ17)/8*1.5</f>
        <v>0</v>
      </c>
      <c r="AM16" s="247">
        <f>SUMIF($F$6:$AJ$6,"C.Nhật",$F16:$AJ17)/8*2</f>
        <v>0</v>
      </c>
      <c r="AN16" s="237">
        <f>SUM(AK16:AM17)</f>
        <v>27</v>
      </c>
      <c r="AO16" s="249">
        <v>0</v>
      </c>
      <c r="AP16" s="237"/>
      <c r="AQ16" s="237"/>
      <c r="AR16" s="237"/>
      <c r="AS16" s="239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2"/>
      <c r="B17" s="242"/>
      <c r="C17" s="244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6"/>
      <c r="AL17" s="246"/>
      <c r="AM17" s="248"/>
      <c r="AN17" s="238"/>
      <c r="AO17" s="250"/>
      <c r="AP17" s="238"/>
      <c r="AQ17" s="238"/>
      <c r="AR17" s="238"/>
      <c r="AS17" s="240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L16:AL17"/>
    <mergeCell ref="AM16:AM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6:AN17"/>
    <mergeCell ref="AO16:AO17"/>
    <mergeCell ref="AP16:AP17"/>
    <mergeCell ref="AR16:AR17"/>
    <mergeCell ref="AS16:AS17"/>
    <mergeCell ref="AQ16:AQ17"/>
  </mergeCells>
  <conditionalFormatting sqref="F5:AJ6 F9:AJ10 F16:AJ17">
    <cfRule type="expression" dxfId="5" priority="46" stopIfTrue="1">
      <formula>IF(WEEKDAY(F$5)=1,TRUE,FALSE)</formula>
    </cfRule>
  </conditionalFormatting>
  <conditionalFormatting sqref="F9:AJ10">
    <cfRule type="expression" dxfId="4" priority="45" stopIfTrue="1">
      <formula>IF(WEEKDAY(F$5)=1,TRUE,FALSE)</formula>
    </cfRule>
  </conditionalFormatting>
  <conditionalFormatting sqref="F13:AJ14">
    <cfRule type="expression" dxfId="3" priority="4" stopIfTrue="1">
      <formula>IF(WEEKDAY(F$5)=1,TRUE,FALSE)</formula>
    </cfRule>
  </conditionalFormatting>
  <conditionalFormatting sqref="F13:AJ14">
    <cfRule type="expression" dxfId="2" priority="3" stopIfTrue="1">
      <formula>IF(WEEKDAY(F$5)=1,TRUE,FALSE)</formula>
    </cfRule>
  </conditionalFormatting>
  <conditionalFormatting sqref="F11:AJ12">
    <cfRule type="expression" dxfId="1" priority="2" stopIfTrue="1">
      <formula>IF(WEEKDAY(F$5)=1,TRUE,FALSE)</formula>
    </cfRule>
  </conditionalFormatting>
  <conditionalFormatting sqref="F11:AJ12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65" t="str">
        <f>"BẢNG THANH TOÁN LƯƠNG THÁNG"&amp;" "&amp;TEXT($E$4,"mm")&amp;" / "&amp;TEXT($E$4,"yyyy")</f>
        <v>BẢNG THANH TOÁN LƯƠNG THÁNG 12 / 2016</v>
      </c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6"/>
      <c r="P1" s="267" t="s">
        <v>76</v>
      </c>
      <c r="Q1" s="268"/>
      <c r="R1" s="269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MAX(F10:F18)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-12'!$E$4</f>
        <v>42705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0" t="s">
        <v>18</v>
      </c>
      <c r="B5" s="270" t="s">
        <v>19</v>
      </c>
      <c r="C5" s="232" t="s">
        <v>1</v>
      </c>
      <c r="D5" s="232" t="s">
        <v>2</v>
      </c>
      <c r="E5" s="235" t="s">
        <v>48</v>
      </c>
      <c r="F5" s="273" t="s">
        <v>23</v>
      </c>
      <c r="G5" s="274"/>
      <c r="H5" s="274"/>
      <c r="I5" s="274"/>
      <c r="J5" s="274"/>
      <c r="K5" s="275"/>
      <c r="L5" s="232" t="s">
        <v>5</v>
      </c>
      <c r="M5" s="232"/>
      <c r="N5" s="232"/>
      <c r="O5" s="272" t="s">
        <v>6</v>
      </c>
      <c r="P5" s="272" t="s">
        <v>7</v>
      </c>
      <c r="Q5" s="272" t="s">
        <v>8</v>
      </c>
      <c r="R5" s="233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1"/>
      <c r="B6" s="271"/>
      <c r="C6" s="232"/>
      <c r="D6" s="232"/>
      <c r="E6" s="235"/>
      <c r="F6" s="273" t="s">
        <v>50</v>
      </c>
      <c r="G6" s="275"/>
      <c r="H6" s="273" t="s">
        <v>69</v>
      </c>
      <c r="I6" s="274"/>
      <c r="J6" s="277" t="s">
        <v>24</v>
      </c>
      <c r="K6" s="272" t="s">
        <v>4</v>
      </c>
      <c r="L6" s="279" t="s">
        <v>11</v>
      </c>
      <c r="M6" s="272" t="s">
        <v>12</v>
      </c>
      <c r="N6" s="272" t="s">
        <v>30</v>
      </c>
      <c r="O6" s="276"/>
      <c r="P6" s="276"/>
      <c r="Q6" s="276"/>
      <c r="R6" s="234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1"/>
      <c r="B7" s="271"/>
      <c r="C7" s="272"/>
      <c r="D7" s="272"/>
      <c r="E7" s="235"/>
      <c r="F7" s="199" t="s">
        <v>33</v>
      </c>
      <c r="G7" s="196" t="s">
        <v>17</v>
      </c>
      <c r="H7" s="199" t="s">
        <v>33</v>
      </c>
      <c r="I7" s="116" t="s">
        <v>17</v>
      </c>
      <c r="J7" s="278"/>
      <c r="K7" s="276"/>
      <c r="L7" s="280"/>
      <c r="M7" s="276"/>
      <c r="N7" s="276"/>
      <c r="O7" s="276"/>
      <c r="P7" s="276"/>
      <c r="Q7" s="276"/>
      <c r="R7" s="234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-12'!$B$8:$AS$17,36,0)</f>
        <v>27</v>
      </c>
      <c r="G10" s="133">
        <f>ROUND(E10/$S$2*F10,0)</f>
        <v>3750000</v>
      </c>
      <c r="H10" s="81">
        <f>(VLOOKUP(B10,'CC -12'!$B$8:$AS$17,37,0)+VLOOKUP(B10,'CC -12'!$B$8:$AS$17,38,0))</f>
        <v>0</v>
      </c>
      <c r="I10" s="133">
        <f>ROUND(E10/$S$2*H10,0)</f>
        <v>0</v>
      </c>
      <c r="J10" s="82">
        <f t="shared" ref="J10" si="3">F10+H10</f>
        <v>27</v>
      </c>
      <c r="K10" s="33">
        <f>G10+I10</f>
        <v>3750000</v>
      </c>
      <c r="L10" s="34">
        <f t="shared" ref="L10:N12" si="4">IF(VLOOKUP($B10,DS,31,0)="x",$E10*L$4,0)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-12'!$B$8:$AS$17,36,0)</f>
        <v>27</v>
      </c>
      <c r="G11" s="133">
        <f>ROUND(E11/$S$2*F11,0)</f>
        <v>3750000</v>
      </c>
      <c r="H11" s="81">
        <f>(VLOOKUP(B11,'CC -12'!$B$8:$AS$17,37,0)+VLOOKUP(B11,'CC -12'!$B$8:$AS$17,38,0))</f>
        <v>0</v>
      </c>
      <c r="I11" s="133">
        <f>ROUND(E11/$S$2*H11,0)</f>
        <v>0</v>
      </c>
      <c r="J11" s="82">
        <f t="shared" ref="J11:J12" si="9">F11+H11</f>
        <v>27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-12'!$B$8:$AS$17,36,0)</f>
        <v>27</v>
      </c>
      <c r="G12" s="133">
        <f>ROUND(E12/$S$2*F12,0)</f>
        <v>3500000</v>
      </c>
      <c r="H12" s="81">
        <f>(VLOOKUP(B12,'CC -12'!$B$8:$AS$17,37,0)+VLOOKUP(B12,'CC -12'!$B$8:$AS$17,38,0))</f>
        <v>0</v>
      </c>
      <c r="I12" s="133">
        <f>ROUND(E12/$S$2*H12,0)</f>
        <v>0</v>
      </c>
      <c r="J12" s="82">
        <f t="shared" si="9"/>
        <v>27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SUM(E9:E13)</f>
        <v>11000000</v>
      </c>
      <c r="F14" s="128"/>
      <c r="G14" s="128">
        <f>SUM(G9:G13)</f>
        <v>11000000</v>
      </c>
      <c r="H14" s="128"/>
      <c r="I14" s="128">
        <f>SUM(I9:I13)</f>
        <v>0</v>
      </c>
      <c r="J14" s="128"/>
      <c r="K14" s="128">
        <f>SUM(K9:K13)</f>
        <v>11000000</v>
      </c>
      <c r="L14" s="128">
        <f>SUM(L9:L13)</f>
        <v>880000</v>
      </c>
      <c r="M14" s="128">
        <f>SUM(M9:M13)</f>
        <v>165000</v>
      </c>
      <c r="N14" s="128">
        <f>SUM(N9:N13)</f>
        <v>110000</v>
      </c>
      <c r="O14" s="128">
        <f>SUM(O9:O13)</f>
        <v>9845000</v>
      </c>
      <c r="P14" s="128"/>
      <c r="Q14" s="128">
        <f>SUM(Q9:Q13)</f>
        <v>9845000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-12'!$B$8:$AS$17,36,0)</f>
        <v>27</v>
      </c>
      <c r="G16" s="133">
        <f>ROUND(E16/$S$2*F16,0)</f>
        <v>3500000</v>
      </c>
      <c r="H16" s="81">
        <f>(VLOOKUP(B16,'CC -12'!$B$8:$AS$17,37,0)+VLOOKUP(B16,'CC -12'!$B$8:$AS$17,38,0))</f>
        <v>0</v>
      </c>
      <c r="I16" s="133">
        <f>ROUND(E16/$S$2*H16,0)</f>
        <v>0</v>
      </c>
      <c r="J16" s="134">
        <f t="shared" ref="J16:K16" si="16">F16+H16</f>
        <v>27</v>
      </c>
      <c r="K16" s="33">
        <f t="shared" si="16"/>
        <v>3500000</v>
      </c>
      <c r="L16" s="34">
        <f t="shared" ref="L16:N16" si="17">IF(VLOOKUP($B16,DS,31,0)="x",$E16*L$4,0)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12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User1</cp:lastModifiedBy>
  <cp:lastPrinted>2016-05-23T07:13:11Z</cp:lastPrinted>
  <dcterms:created xsi:type="dcterms:W3CDTF">2011-06-27T04:19:15Z</dcterms:created>
  <dcterms:modified xsi:type="dcterms:W3CDTF">2017-04-01T07:36:01Z</dcterms:modified>
</cp:coreProperties>
</file>