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20" yWindow="390" windowWidth="15150" windowHeight="8400" tabRatio="897"/>
  </bookViews>
  <sheets>
    <sheet name="TH" sheetId="15" r:id="rId1"/>
    <sheet name="CC -5" sheetId="14" r:id="rId2"/>
    <sheet name="L - 5" sheetId="16" r:id="rId3"/>
    <sheet name="CC -6" sheetId="33" r:id="rId4"/>
    <sheet name="L - 6" sheetId="34" r:id="rId5"/>
    <sheet name="CC -7" sheetId="35" r:id="rId6"/>
    <sheet name="L - 7" sheetId="36" r:id="rId7"/>
    <sheet name="CC - 8" sheetId="37" r:id="rId8"/>
    <sheet name="L - 8" sheetId="38" r:id="rId9"/>
    <sheet name="CC -9" sheetId="39" r:id="rId10"/>
    <sheet name="L - 9" sheetId="40" r:id="rId11"/>
    <sheet name="CC -10" sheetId="41" r:id="rId12"/>
    <sheet name="L - 10" sheetId="42" r:id="rId13"/>
    <sheet name="CC -11" sheetId="43" r:id="rId14"/>
    <sheet name="L - 11" sheetId="44" r:id="rId15"/>
    <sheet name="CC -12" sheetId="45" r:id="rId16"/>
    <sheet name="L - 12" sheetId="46" r:id="rId17"/>
  </sheets>
  <definedNames>
    <definedName name="____a1" hidden="1">{"'Sheet1'!$L$16"}</definedName>
    <definedName name="_a1" localSheetId="7" hidden="1">{"'Sheet1'!$L$16"}</definedName>
    <definedName name="_a1" localSheetId="11" hidden="1">{"'Sheet1'!$L$16"}</definedName>
    <definedName name="_a1" localSheetId="13" hidden="1">{"'Sheet1'!$L$16"}</definedName>
    <definedName name="_a1" localSheetId="15" hidden="1">{"'Sheet1'!$L$16"}</definedName>
    <definedName name="_a1" localSheetId="1" hidden="1">{"'Sheet1'!$L$16"}</definedName>
    <definedName name="_a1" localSheetId="3" hidden="1">{"'Sheet1'!$L$16"}</definedName>
    <definedName name="_a1" localSheetId="5" hidden="1">{"'Sheet1'!$L$16"}</definedName>
    <definedName name="_a1" localSheetId="9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2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7" hidden="1">'CC - 8'!$A$7:$AS$7</definedName>
    <definedName name="_xlnm._FilterDatabase" localSheetId="11" hidden="1">'CC -10'!$A$7:$AS$7</definedName>
    <definedName name="_xlnm._FilterDatabase" localSheetId="13" hidden="1">'CC -11'!$A$7:$AS$7</definedName>
    <definedName name="_xlnm._FilterDatabase" localSheetId="15" hidden="1">'CC -12'!$A$7:$AS$7</definedName>
    <definedName name="_xlnm._FilterDatabase" localSheetId="1" hidden="1">'CC -5'!$A$7:$AS$7</definedName>
    <definedName name="_xlnm._FilterDatabase" localSheetId="3" hidden="1">'CC -6'!$A$7:$AS$7</definedName>
    <definedName name="_xlnm._FilterDatabase" localSheetId="5" hidden="1">'CC -7'!$A$7:$AS$7</definedName>
    <definedName name="_xlnm._FilterDatabase" localSheetId="9" hidden="1">'CC -9'!$A$7:$AS$7</definedName>
    <definedName name="_xlnm._FilterDatabase" localSheetId="12" hidden="1">'L - 10'!$A$7:$AE$10</definedName>
    <definedName name="_xlnm._FilterDatabase" localSheetId="14" hidden="1">'L - 11'!$A$7:$AE$10</definedName>
    <definedName name="_xlnm._FilterDatabase" localSheetId="16" hidden="1">'L - 12'!$A$7:$AE$10</definedName>
    <definedName name="_xlnm._FilterDatabase" localSheetId="2" hidden="1">'L - 5'!$A$7:$AE$10</definedName>
    <definedName name="_xlnm._FilterDatabase" localSheetId="4" hidden="1">'L - 6'!$A$7:$AE$10</definedName>
    <definedName name="_xlnm._FilterDatabase" localSheetId="6" hidden="1">'L - 7'!$A$7:$AE$10</definedName>
    <definedName name="_xlnm._FilterDatabase" localSheetId="8" hidden="1">'L - 8'!$A$7:$AE$10</definedName>
    <definedName name="_xlnm._FilterDatabase" localSheetId="10" hidden="1">'L - 9'!$A$7:$AE$10</definedName>
    <definedName name="_xlnm._FilterDatabase" localSheetId="0" hidden="1">TH!$A$10:$Z$16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7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5" hidden="1">{#N/A,#N/A,FALSE,"Chi tiÆt"}</definedName>
    <definedName name="dh" localSheetId="1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9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2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0" hidden="1">{#N/A,#N/A,FALSE,"Chi tiÆt"}</definedName>
    <definedName name="dh" hidden="1">{#N/A,#N/A,FALSE,"Chi tiÆt"}</definedName>
    <definedName name="DS">TH!$B$11:$X$21</definedName>
    <definedName name="GFSAH" localSheetId="7" hidden="1">{"'Sheet1'!$L$16"}</definedName>
    <definedName name="GFSAH" localSheetId="11" hidden="1">{"'Sheet1'!$L$16"}</definedName>
    <definedName name="GFSAH" localSheetId="13" hidden="1">{"'Sheet1'!$L$16"}</definedName>
    <definedName name="GFSAH" localSheetId="15" hidden="1">{"'Sheet1'!$L$16"}</definedName>
    <definedName name="GFSAH" localSheetId="1" hidden="1">{"'Sheet1'!$L$16"}</definedName>
    <definedName name="GFSAH" localSheetId="3" hidden="1">{"'Sheet1'!$L$16"}</definedName>
    <definedName name="GFSAH" localSheetId="5" hidden="1">{"'Sheet1'!$L$16"}</definedName>
    <definedName name="GFSAH" localSheetId="9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2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0" hidden="1">{"'Sheet1'!$L$16"}</definedName>
    <definedName name="GFSAH" hidden="1">{"'Sheet1'!$L$16"}</definedName>
    <definedName name="GJFXJXJ" localSheetId="7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5" hidden="1">{#N/A,#N/A,FALSE,"Chi tiÆt"}</definedName>
    <definedName name="GJFXJXJ" localSheetId="1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9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2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7" hidden="1">{"'Sheet1'!$L$16"}</definedName>
    <definedName name="h" localSheetId="11" hidden="1">{"'Sheet1'!$L$16"}</definedName>
    <definedName name="h" localSheetId="13" hidden="1">{"'Sheet1'!$L$16"}</definedName>
    <definedName name="h" localSheetId="15" hidden="1">{"'Sheet1'!$L$16"}</definedName>
    <definedName name="h" localSheetId="1" hidden="1">{"'Sheet1'!$L$16"}</definedName>
    <definedName name="h" localSheetId="3" hidden="1">{"'Sheet1'!$L$16"}</definedName>
    <definedName name="h" localSheetId="5" hidden="1">{"'Sheet1'!$L$16"}</definedName>
    <definedName name="h" localSheetId="9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2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0" hidden="1">{"'Sheet1'!$L$16"}</definedName>
    <definedName name="h" hidden="1">{"'Sheet1'!$L$16"}</definedName>
    <definedName name="hsgdkhog" localSheetId="7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5" hidden="1">{#N/A,#N/A,FALSE,"Chi tiÆt"}</definedName>
    <definedName name="hsgdkhog" localSheetId="1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9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2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7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5" hidden="1">{"'Sheet1'!$L$16"}</definedName>
    <definedName name="HTML_Control" localSheetId="1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9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2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7" hidden="1">{"'Sheet1'!$L$16"}</definedName>
    <definedName name="huy" localSheetId="11" hidden="1">{"'Sheet1'!$L$16"}</definedName>
    <definedName name="huy" localSheetId="13" hidden="1">{"'Sheet1'!$L$16"}</definedName>
    <definedName name="huy" localSheetId="15" hidden="1">{"'Sheet1'!$L$16"}</definedName>
    <definedName name="huy" localSheetId="1" hidden="1">{"'Sheet1'!$L$16"}</definedName>
    <definedName name="huy" localSheetId="3" hidden="1">{"'Sheet1'!$L$16"}</definedName>
    <definedName name="huy" localSheetId="5" hidden="1">{"'Sheet1'!$L$16"}</definedName>
    <definedName name="huy" localSheetId="9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2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0" hidden="1">{"'Sheet1'!$L$16"}</definedName>
    <definedName name="huy" hidden="1">{"'Sheet1'!$L$16"}</definedName>
    <definedName name="khkl" localSheetId="7" hidden="1">{"'Sheet1'!$L$16"}</definedName>
    <definedName name="khkl" localSheetId="11" hidden="1">{"'Sheet1'!$L$16"}</definedName>
    <definedName name="khkl" localSheetId="13" hidden="1">{"'Sheet1'!$L$16"}</definedName>
    <definedName name="khkl" localSheetId="15" hidden="1">{"'Sheet1'!$L$16"}</definedName>
    <definedName name="khkl" localSheetId="1" hidden="1">{"'Sheet1'!$L$16"}</definedName>
    <definedName name="khkl" localSheetId="3" hidden="1">{"'Sheet1'!$L$16"}</definedName>
    <definedName name="khkl" localSheetId="5" hidden="1">{"'Sheet1'!$L$16"}</definedName>
    <definedName name="khkl" localSheetId="9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2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0" hidden="1">{"'Sheet1'!$L$16"}</definedName>
    <definedName name="khkl" hidden="1">{"'Sheet1'!$L$16"}</definedName>
    <definedName name="kjjh" localSheetId="7" hidden="1">{"'Sheet1'!$L$16"}</definedName>
    <definedName name="kjjh" localSheetId="11" hidden="1">{"'Sheet1'!$L$16"}</definedName>
    <definedName name="kjjh" localSheetId="13" hidden="1">{"'Sheet1'!$L$16"}</definedName>
    <definedName name="kjjh" localSheetId="15" hidden="1">{"'Sheet1'!$L$16"}</definedName>
    <definedName name="kjjh" localSheetId="1" hidden="1">{"'Sheet1'!$L$16"}</definedName>
    <definedName name="kjjh" localSheetId="3" hidden="1">{"'Sheet1'!$L$16"}</definedName>
    <definedName name="kjjh" localSheetId="5" hidden="1">{"'Sheet1'!$L$16"}</definedName>
    <definedName name="kjjh" localSheetId="9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2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0" hidden="1">{"'Sheet1'!$L$16"}</definedName>
    <definedName name="kjjh" hidden="1">{"'Sheet1'!$L$16"}</definedName>
    <definedName name="KTLDLAN3" localSheetId="7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5" hidden="1">{"'Sheet1'!$L$16"}</definedName>
    <definedName name="KTLDLAN3" localSheetId="1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9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2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0" hidden="1">{"'Sheet1'!$L$16"}</definedName>
    <definedName name="KTLDLAN3" hidden="1">{"'Sheet1'!$L$16"}</definedName>
    <definedName name="_xlnm.Print_Area" localSheetId="7">'CC - 8'!$A$1:$AS$43</definedName>
    <definedName name="_xlnm.Print_Area" localSheetId="11">'CC -10'!$A$1:$AS$43</definedName>
    <definedName name="_xlnm.Print_Area" localSheetId="13">'CC -11'!$A$1:$AS$43</definedName>
    <definedName name="_xlnm.Print_Area" localSheetId="15">'CC -12'!$A$1:$AS$43</definedName>
    <definedName name="_xlnm.Print_Area" localSheetId="1">'CC -5'!$A$1:$AS$43</definedName>
    <definedName name="_xlnm.Print_Area" localSheetId="3">'CC -6'!$A$1:$AS$43</definedName>
    <definedName name="_xlnm.Print_Area" localSheetId="5">'CC -7'!$A$1:$AS$43</definedName>
    <definedName name="_xlnm.Print_Area" localSheetId="9">'CC -9'!$A$1:$AS$43</definedName>
    <definedName name="ưer" localSheetId="7" hidden="1">{"'Sheet1'!$L$16"}</definedName>
    <definedName name="ưer" localSheetId="11" hidden="1">{"'Sheet1'!$L$16"}</definedName>
    <definedName name="ưer" localSheetId="13" hidden="1">{"'Sheet1'!$L$16"}</definedName>
    <definedName name="ưer" localSheetId="15" hidden="1">{"'Sheet1'!$L$16"}</definedName>
    <definedName name="ưer" localSheetId="1" hidden="1">{"'Sheet1'!$L$16"}</definedName>
    <definedName name="ưer" localSheetId="3" hidden="1">{"'Sheet1'!$L$16"}</definedName>
    <definedName name="ưer" localSheetId="5" hidden="1">{"'Sheet1'!$L$16"}</definedName>
    <definedName name="ưer" localSheetId="9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2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0" hidden="1">{"'Sheet1'!$L$16"}</definedName>
    <definedName name="ưer" hidden="1">{"'Sheet1'!$L$16"}</definedName>
    <definedName name="UU" localSheetId="7" hidden="1">{"'Sheet1'!$L$16"}</definedName>
    <definedName name="UU" localSheetId="11" hidden="1">{"'Sheet1'!$L$16"}</definedName>
    <definedName name="UU" localSheetId="13" hidden="1">{"'Sheet1'!$L$16"}</definedName>
    <definedName name="UU" localSheetId="15" hidden="1">{"'Sheet1'!$L$16"}</definedName>
    <definedName name="UU" localSheetId="1" hidden="1">{"'Sheet1'!$L$16"}</definedName>
    <definedName name="UU" localSheetId="3" hidden="1">{"'Sheet1'!$L$16"}</definedName>
    <definedName name="UU" localSheetId="5" hidden="1">{"'Sheet1'!$L$16"}</definedName>
    <definedName name="UU" localSheetId="9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2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0" hidden="1">{"'Sheet1'!$L$16"}</definedName>
    <definedName name="UU" hidden="1">{"'Sheet1'!$L$16"}</definedName>
    <definedName name="wrn.chi._.tiÆt." localSheetId="7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5" hidden="1">{#N/A,#N/A,FALSE,"Chi tiÆt"}</definedName>
    <definedName name="wrn.chi._.tiÆt." localSheetId="1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9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2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4525"/>
</workbook>
</file>

<file path=xl/calcChain.xml><?xml version="1.0" encoding="utf-8"?>
<calcChain xmlns="http://schemas.openxmlformats.org/spreadsheetml/2006/main">
  <c r="C11" i="46" l="1"/>
  <c r="D11" i="46"/>
  <c r="E11" i="46"/>
  <c r="N11" i="46"/>
  <c r="O11" i="46"/>
  <c r="P11" i="46"/>
  <c r="R11" i="46"/>
  <c r="C12" i="46"/>
  <c r="D12" i="46"/>
  <c r="E12" i="46"/>
  <c r="V14" i="46" s="1"/>
  <c r="V15" i="46" s="1"/>
  <c r="N12" i="46"/>
  <c r="O12" i="46"/>
  <c r="P12" i="46"/>
  <c r="R12" i="46"/>
  <c r="AM11" i="45"/>
  <c r="H11" i="46" s="1"/>
  <c r="I11" i="46" s="1"/>
  <c r="AL11" i="45"/>
  <c r="AK11" i="45"/>
  <c r="D11" i="45"/>
  <c r="C11" i="45"/>
  <c r="AN11" i="45" l="1"/>
  <c r="F11" i="46"/>
  <c r="L11" i="46" s="1"/>
  <c r="C11" i="44"/>
  <c r="D11" i="44"/>
  <c r="E11" i="44"/>
  <c r="F11" i="44"/>
  <c r="L11" i="44" s="1"/>
  <c r="H11" i="44"/>
  <c r="N11" i="44"/>
  <c r="O11" i="44"/>
  <c r="P11" i="44"/>
  <c r="R11" i="44"/>
  <c r="C12" i="44"/>
  <c r="D12" i="44"/>
  <c r="E12" i="44"/>
  <c r="F12" i="44"/>
  <c r="L12" i="44" s="1"/>
  <c r="H12" i="44"/>
  <c r="N12" i="44"/>
  <c r="O12" i="44"/>
  <c r="P12" i="44"/>
  <c r="R12" i="44"/>
  <c r="AM11" i="43"/>
  <c r="AL11" i="43"/>
  <c r="AK11" i="43"/>
  <c r="AN11" i="43" s="1"/>
  <c r="D11" i="43"/>
  <c r="C11" i="43"/>
  <c r="I11" i="44" l="1"/>
  <c r="G11" i="46"/>
  <c r="K11" i="46" s="1"/>
  <c r="M11" i="46" s="1"/>
  <c r="Q11" i="46" s="1"/>
  <c r="S11" i="46" s="1"/>
  <c r="J11" i="46"/>
  <c r="G12" i="44"/>
  <c r="I12" i="44"/>
  <c r="G11" i="44"/>
  <c r="K11" i="44" s="1"/>
  <c r="M11" i="44" s="1"/>
  <c r="Q11" i="44" s="1"/>
  <c r="S11" i="44" s="1"/>
  <c r="J12" i="44"/>
  <c r="J11" i="44"/>
  <c r="K12" i="44" l="1"/>
  <c r="M12" i="44" s="1"/>
  <c r="Q12" i="44" s="1"/>
  <c r="S12" i="44" s="1"/>
  <c r="A18" i="45"/>
  <c r="C18" i="45"/>
  <c r="D18" i="45"/>
  <c r="AL18" i="45"/>
  <c r="A20" i="45"/>
  <c r="C17" i="46"/>
  <c r="D17" i="46"/>
  <c r="E17" i="46"/>
  <c r="N17" i="46"/>
  <c r="O17" i="46"/>
  <c r="P17" i="46"/>
  <c r="R17" i="46"/>
  <c r="K24" i="15" l="1"/>
  <c r="AL20" i="45"/>
  <c r="D20" i="45"/>
  <c r="C20" i="45"/>
  <c r="AL13" i="43"/>
  <c r="D13" i="43"/>
  <c r="C13" i="43"/>
  <c r="A13" i="41"/>
  <c r="C13" i="41"/>
  <c r="D13" i="41"/>
  <c r="AL13" i="41"/>
  <c r="C12" i="42"/>
  <c r="D12" i="42"/>
  <c r="E12" i="42"/>
  <c r="N12" i="42"/>
  <c r="O12" i="42"/>
  <c r="P12" i="42"/>
  <c r="R12" i="42"/>
  <c r="K25" i="15" l="1"/>
  <c r="AL20" i="41" l="1"/>
  <c r="D20" i="41"/>
  <c r="C20" i="41"/>
  <c r="AL20" i="43"/>
  <c r="D20" i="43"/>
  <c r="C20" i="43"/>
  <c r="R18" i="46"/>
  <c r="P18" i="46"/>
  <c r="O18" i="46"/>
  <c r="N18" i="46"/>
  <c r="E18" i="46"/>
  <c r="D18" i="46"/>
  <c r="C18" i="46"/>
  <c r="R16" i="46"/>
  <c r="P16" i="46"/>
  <c r="O16" i="46"/>
  <c r="N16" i="46"/>
  <c r="E16" i="46"/>
  <c r="D16" i="46"/>
  <c r="C16" i="46"/>
  <c r="R10" i="46"/>
  <c r="P10" i="46"/>
  <c r="O10" i="46"/>
  <c r="N10" i="46"/>
  <c r="N14" i="46" s="1"/>
  <c r="E10" i="46"/>
  <c r="D10" i="46"/>
  <c r="C10" i="46"/>
  <c r="E4" i="46"/>
  <c r="S22" i="46" s="1"/>
  <c r="AL16" i="45"/>
  <c r="D16" i="45"/>
  <c r="C16" i="45"/>
  <c r="AL13" i="45"/>
  <c r="D13" i="45"/>
  <c r="C13" i="45"/>
  <c r="AL9" i="45"/>
  <c r="D9" i="45"/>
  <c r="C9" i="45"/>
  <c r="F5" i="45"/>
  <c r="G5" i="45" s="1"/>
  <c r="S1" i="45"/>
  <c r="R18" i="44"/>
  <c r="P18" i="44"/>
  <c r="O18" i="44"/>
  <c r="N18" i="44"/>
  <c r="E18" i="44"/>
  <c r="D18" i="44"/>
  <c r="C18" i="44"/>
  <c r="R17" i="44"/>
  <c r="P17" i="44"/>
  <c r="O17" i="44"/>
  <c r="N17" i="44"/>
  <c r="E17" i="44"/>
  <c r="D17" i="44"/>
  <c r="C17" i="44"/>
  <c r="R16" i="44"/>
  <c r="P16" i="44"/>
  <c r="O16" i="44"/>
  <c r="N16" i="44"/>
  <c r="E16" i="44"/>
  <c r="D16" i="44"/>
  <c r="C16" i="44"/>
  <c r="R10" i="44"/>
  <c r="R14" i="44" s="1"/>
  <c r="P10" i="44"/>
  <c r="P14" i="44" s="1"/>
  <c r="O10" i="44"/>
  <c r="O14" i="44" s="1"/>
  <c r="N10" i="44"/>
  <c r="N14" i="44" s="1"/>
  <c r="E10" i="44"/>
  <c r="E14" i="44" s="1"/>
  <c r="D10" i="44"/>
  <c r="C10" i="44"/>
  <c r="E4" i="44"/>
  <c r="S22" i="44" s="1"/>
  <c r="AL18" i="43"/>
  <c r="D18" i="43"/>
  <c r="C18" i="43"/>
  <c r="A18" i="43"/>
  <c r="A20" i="43" s="1"/>
  <c r="AL16" i="43"/>
  <c r="D16" i="43"/>
  <c r="C16" i="43"/>
  <c r="AL9" i="43"/>
  <c r="D9" i="43"/>
  <c r="C9" i="43"/>
  <c r="F5" i="43"/>
  <c r="G5" i="43" s="1"/>
  <c r="S1" i="43"/>
  <c r="R18" i="42"/>
  <c r="P18" i="42"/>
  <c r="O18" i="42"/>
  <c r="N18" i="42"/>
  <c r="E18" i="42"/>
  <c r="D18" i="42"/>
  <c r="C18" i="42"/>
  <c r="R17" i="42"/>
  <c r="P17" i="42"/>
  <c r="O17" i="42"/>
  <c r="N17" i="42"/>
  <c r="E17" i="42"/>
  <c r="D17" i="42"/>
  <c r="C17" i="42"/>
  <c r="R16" i="42"/>
  <c r="P16" i="42"/>
  <c r="O16" i="42"/>
  <c r="N16" i="42"/>
  <c r="E16" i="42"/>
  <c r="D16" i="42"/>
  <c r="C16" i="42"/>
  <c r="R11" i="42"/>
  <c r="P11" i="42"/>
  <c r="O11" i="42"/>
  <c r="N11" i="42"/>
  <c r="E11" i="42"/>
  <c r="D11" i="42"/>
  <c r="C11" i="42"/>
  <c r="R10" i="42"/>
  <c r="P10" i="42"/>
  <c r="O10" i="42"/>
  <c r="N10" i="42"/>
  <c r="E10" i="42"/>
  <c r="D10" i="42"/>
  <c r="C10" i="42"/>
  <c r="E4" i="42"/>
  <c r="S22" i="42" s="1"/>
  <c r="AL18" i="41"/>
  <c r="D18" i="41"/>
  <c r="C18" i="41"/>
  <c r="A18" i="41"/>
  <c r="A20" i="41" s="1"/>
  <c r="AL16" i="41"/>
  <c r="D16" i="41"/>
  <c r="C16" i="41"/>
  <c r="AL11" i="41"/>
  <c r="D11" i="41"/>
  <c r="C11" i="41"/>
  <c r="A11" i="41"/>
  <c r="AL9" i="41"/>
  <c r="D9" i="41"/>
  <c r="C9" i="41"/>
  <c r="F5" i="41"/>
  <c r="G5" i="41" s="1"/>
  <c r="S1" i="41"/>
  <c r="P14" i="46" l="1"/>
  <c r="E14" i="46"/>
  <c r="R14" i="46"/>
  <c r="O14" i="46"/>
  <c r="F6" i="43"/>
  <c r="E20" i="42"/>
  <c r="R20" i="42"/>
  <c r="E20" i="44"/>
  <c r="R20" i="44"/>
  <c r="F6" i="45"/>
  <c r="F6" i="41"/>
  <c r="N14" i="42"/>
  <c r="E20" i="46"/>
  <c r="P20" i="42"/>
  <c r="D1" i="42"/>
  <c r="P20" i="44"/>
  <c r="D1" i="44"/>
  <c r="O20" i="46"/>
  <c r="P20" i="46"/>
  <c r="N20" i="46"/>
  <c r="R20" i="46"/>
  <c r="D1" i="46"/>
  <c r="G6" i="45"/>
  <c r="H5" i="45"/>
  <c r="N20" i="44"/>
  <c r="O20" i="44"/>
  <c r="G6" i="43"/>
  <c r="H5" i="43"/>
  <c r="N20" i="42"/>
  <c r="O14" i="42"/>
  <c r="P14" i="42"/>
  <c r="R14" i="42"/>
  <c r="O20" i="42"/>
  <c r="G6" i="41"/>
  <c r="H5" i="41"/>
  <c r="E14" i="42"/>
  <c r="R18" i="40"/>
  <c r="P18" i="40"/>
  <c r="O18" i="40"/>
  <c r="N18" i="40"/>
  <c r="E18" i="40"/>
  <c r="D18" i="40"/>
  <c r="C18" i="40"/>
  <c r="R17" i="40"/>
  <c r="P17" i="40"/>
  <c r="O17" i="40"/>
  <c r="N17" i="40"/>
  <c r="E17" i="40"/>
  <c r="D17" i="40"/>
  <c r="C17" i="40"/>
  <c r="R16" i="40"/>
  <c r="P16" i="40"/>
  <c r="O16" i="40"/>
  <c r="N16" i="40"/>
  <c r="E16" i="40"/>
  <c r="D16" i="40"/>
  <c r="C16" i="40"/>
  <c r="R12" i="40"/>
  <c r="P12" i="40"/>
  <c r="O12" i="40"/>
  <c r="N12" i="40"/>
  <c r="E12" i="40"/>
  <c r="D12" i="40"/>
  <c r="C12" i="40"/>
  <c r="R11" i="40"/>
  <c r="P11" i="40"/>
  <c r="O11" i="40"/>
  <c r="N11" i="40"/>
  <c r="E11" i="40"/>
  <c r="D11" i="40"/>
  <c r="C11" i="40"/>
  <c r="R10" i="40"/>
  <c r="P10" i="40"/>
  <c r="O10" i="40"/>
  <c r="N10" i="40"/>
  <c r="E10" i="40"/>
  <c r="D10" i="40"/>
  <c r="C10" i="40"/>
  <c r="E4" i="40"/>
  <c r="S22" i="40" s="1"/>
  <c r="AL20" i="39"/>
  <c r="D20" i="39"/>
  <c r="C20" i="39"/>
  <c r="AL18" i="39"/>
  <c r="D18" i="39"/>
  <c r="C18" i="39"/>
  <c r="A18" i="39"/>
  <c r="A20" i="39" s="1"/>
  <c r="AL16" i="39"/>
  <c r="D16" i="39"/>
  <c r="C16" i="39"/>
  <c r="AL13" i="39"/>
  <c r="D13" i="39"/>
  <c r="C13" i="39"/>
  <c r="A13" i="39"/>
  <c r="AL11" i="39"/>
  <c r="D11" i="39"/>
  <c r="C11" i="39"/>
  <c r="A11" i="39"/>
  <c r="AL9" i="39"/>
  <c r="D9" i="39"/>
  <c r="C9" i="39"/>
  <c r="F5" i="39"/>
  <c r="G5" i="39" s="1"/>
  <c r="S1" i="39"/>
  <c r="R18" i="38"/>
  <c r="P18" i="38"/>
  <c r="O18" i="38"/>
  <c r="N18" i="38"/>
  <c r="E18" i="38"/>
  <c r="D18" i="38"/>
  <c r="C18" i="38"/>
  <c r="R17" i="38"/>
  <c r="P17" i="38"/>
  <c r="O17" i="38"/>
  <c r="N17" i="38"/>
  <c r="E17" i="38"/>
  <c r="D17" i="38"/>
  <c r="C17" i="38"/>
  <c r="R16" i="38"/>
  <c r="P16" i="38"/>
  <c r="O16" i="38"/>
  <c r="N16" i="38"/>
  <c r="E16" i="38"/>
  <c r="D16" i="38"/>
  <c r="C16" i="38"/>
  <c r="R12" i="38"/>
  <c r="P12" i="38"/>
  <c r="O12" i="38"/>
  <c r="N12" i="38"/>
  <c r="E12" i="38"/>
  <c r="D12" i="38"/>
  <c r="C12" i="38"/>
  <c r="R11" i="38"/>
  <c r="P11" i="38"/>
  <c r="O11" i="38"/>
  <c r="N11" i="38"/>
  <c r="E11" i="38"/>
  <c r="D11" i="38"/>
  <c r="C11" i="38"/>
  <c r="R10" i="38"/>
  <c r="P10" i="38"/>
  <c r="O10" i="38"/>
  <c r="N10" i="38"/>
  <c r="E10" i="38"/>
  <c r="D10" i="38"/>
  <c r="C10" i="38"/>
  <c r="E4" i="38"/>
  <c r="S22" i="38" s="1"/>
  <c r="AL20" i="37"/>
  <c r="D20" i="37"/>
  <c r="C20" i="37"/>
  <c r="AL18" i="37"/>
  <c r="D18" i="37"/>
  <c r="C18" i="37"/>
  <c r="A18" i="37"/>
  <c r="A20" i="37" s="1"/>
  <c r="AL16" i="37"/>
  <c r="D16" i="37"/>
  <c r="C16" i="37"/>
  <c r="AL13" i="37"/>
  <c r="D13" i="37"/>
  <c r="C13" i="37"/>
  <c r="A13" i="37"/>
  <c r="AL11" i="37"/>
  <c r="D11" i="37"/>
  <c r="C11" i="37"/>
  <c r="A11" i="37"/>
  <c r="AL9" i="37"/>
  <c r="D9" i="37"/>
  <c r="C9" i="37"/>
  <c r="F5" i="37"/>
  <c r="F6" i="37" s="1"/>
  <c r="S1" i="37"/>
  <c r="R18" i="36"/>
  <c r="P18" i="36"/>
  <c r="O18" i="36"/>
  <c r="N18" i="36"/>
  <c r="E18" i="36"/>
  <c r="D18" i="36"/>
  <c r="C18" i="36"/>
  <c r="R17" i="36"/>
  <c r="P17" i="36"/>
  <c r="O17" i="36"/>
  <c r="N17" i="36"/>
  <c r="E17" i="36"/>
  <c r="D17" i="36"/>
  <c r="C17" i="36"/>
  <c r="R16" i="36"/>
  <c r="P16" i="36"/>
  <c r="O16" i="36"/>
  <c r="N16" i="36"/>
  <c r="E16" i="36"/>
  <c r="D16" i="36"/>
  <c r="C16" i="36"/>
  <c r="R12" i="36"/>
  <c r="P12" i="36"/>
  <c r="O12" i="36"/>
  <c r="N12" i="36"/>
  <c r="E12" i="36"/>
  <c r="D12" i="36"/>
  <c r="C12" i="36"/>
  <c r="R11" i="36"/>
  <c r="P11" i="36"/>
  <c r="O11" i="36"/>
  <c r="N11" i="36"/>
  <c r="E11" i="36"/>
  <c r="D11" i="36"/>
  <c r="C11" i="36"/>
  <c r="R10" i="36"/>
  <c r="P10" i="36"/>
  <c r="O10" i="36"/>
  <c r="N10" i="36"/>
  <c r="E10" i="36"/>
  <c r="D10" i="36"/>
  <c r="C10" i="36"/>
  <c r="E4" i="36"/>
  <c r="S22" i="36" s="1"/>
  <c r="D1" i="36"/>
  <c r="AL20" i="35"/>
  <c r="D20" i="35"/>
  <c r="C20" i="35"/>
  <c r="AL18" i="35"/>
  <c r="D18" i="35"/>
  <c r="C18" i="35"/>
  <c r="A18" i="35"/>
  <c r="A20" i="35" s="1"/>
  <c r="AL16" i="35"/>
  <c r="D16" i="35"/>
  <c r="C16" i="35"/>
  <c r="AL13" i="35"/>
  <c r="D13" i="35"/>
  <c r="C13" i="35"/>
  <c r="A13" i="35"/>
  <c r="AL11" i="35"/>
  <c r="D11" i="35"/>
  <c r="C11" i="35"/>
  <c r="A11" i="35"/>
  <c r="AL9" i="35"/>
  <c r="D9" i="35"/>
  <c r="C9" i="35"/>
  <c r="F5" i="35"/>
  <c r="F6" i="35" s="1"/>
  <c r="S1" i="35"/>
  <c r="D1" i="38" l="1"/>
  <c r="N14" i="40"/>
  <c r="P20" i="40"/>
  <c r="I5" i="45"/>
  <c r="H6" i="45"/>
  <c r="R14" i="38"/>
  <c r="P20" i="38"/>
  <c r="O14" i="40"/>
  <c r="N20" i="40"/>
  <c r="I5" i="43"/>
  <c r="H6" i="43"/>
  <c r="E20" i="40"/>
  <c r="R20" i="40"/>
  <c r="I5" i="41"/>
  <c r="H6" i="41"/>
  <c r="R14" i="36"/>
  <c r="P20" i="36"/>
  <c r="N14" i="38"/>
  <c r="E20" i="38"/>
  <c r="R20" i="38"/>
  <c r="P14" i="40"/>
  <c r="R14" i="40"/>
  <c r="O20" i="40"/>
  <c r="F6" i="39"/>
  <c r="D1" i="40"/>
  <c r="G6" i="39"/>
  <c r="H5" i="39"/>
  <c r="E14" i="40"/>
  <c r="N14" i="36"/>
  <c r="E20" i="36"/>
  <c r="R20" i="36"/>
  <c r="O14" i="38"/>
  <c r="N20" i="38"/>
  <c r="O14" i="36"/>
  <c r="P14" i="38"/>
  <c r="O20" i="38"/>
  <c r="G5" i="37"/>
  <c r="E14" i="38"/>
  <c r="N20" i="36"/>
  <c r="P14" i="36"/>
  <c r="O20" i="36"/>
  <c r="G5" i="35"/>
  <c r="E14" i="36"/>
  <c r="C11" i="34"/>
  <c r="D11" i="34"/>
  <c r="E11" i="34"/>
  <c r="N11" i="34"/>
  <c r="O11" i="34"/>
  <c r="P11" i="34"/>
  <c r="R11" i="34"/>
  <c r="C12" i="34"/>
  <c r="D12" i="34"/>
  <c r="E12" i="34"/>
  <c r="N12" i="34"/>
  <c r="O12" i="34"/>
  <c r="P12" i="34"/>
  <c r="R12" i="34"/>
  <c r="AL11" i="33"/>
  <c r="D11" i="33"/>
  <c r="C11" i="33"/>
  <c r="A11" i="33"/>
  <c r="C16" i="16"/>
  <c r="D16" i="16"/>
  <c r="E16" i="16"/>
  <c r="N16" i="16"/>
  <c r="O16" i="16"/>
  <c r="P16" i="16"/>
  <c r="R16" i="16"/>
  <c r="C17" i="16"/>
  <c r="D17" i="16"/>
  <c r="E17" i="16"/>
  <c r="N17" i="16"/>
  <c r="O17" i="16"/>
  <c r="P17" i="16"/>
  <c r="R17" i="16"/>
  <c r="C18" i="16"/>
  <c r="D18" i="16"/>
  <c r="E18" i="16"/>
  <c r="N18" i="16"/>
  <c r="O18" i="16"/>
  <c r="P18" i="16"/>
  <c r="R18" i="16"/>
  <c r="C10" i="16"/>
  <c r="D10" i="16"/>
  <c r="E10" i="16"/>
  <c r="N10" i="16"/>
  <c r="O10" i="16"/>
  <c r="P10" i="16"/>
  <c r="R10" i="16"/>
  <c r="C11" i="16"/>
  <c r="D11" i="16"/>
  <c r="E11" i="16"/>
  <c r="N11" i="16"/>
  <c r="O11" i="16"/>
  <c r="P11" i="16"/>
  <c r="R11" i="16"/>
  <c r="C12" i="16"/>
  <c r="D12" i="16"/>
  <c r="E12" i="16"/>
  <c r="N12" i="16"/>
  <c r="O12" i="16"/>
  <c r="P12" i="16"/>
  <c r="R12" i="16"/>
  <c r="J5" i="45" l="1"/>
  <c r="I6" i="45"/>
  <c r="J5" i="43"/>
  <c r="I6" i="43"/>
  <c r="J5" i="41"/>
  <c r="I6" i="41"/>
  <c r="I5" i="39"/>
  <c r="H6" i="39"/>
  <c r="E14" i="16"/>
  <c r="G6" i="37"/>
  <c r="H5" i="37"/>
  <c r="P20" i="16"/>
  <c r="P14" i="16"/>
  <c r="O20" i="16"/>
  <c r="E20" i="16"/>
  <c r="R20" i="16"/>
  <c r="N20" i="16"/>
  <c r="N14" i="16"/>
  <c r="R14" i="16"/>
  <c r="G6" i="35"/>
  <c r="H5" i="35"/>
  <c r="O14" i="16"/>
  <c r="AL11" i="14"/>
  <c r="D11" i="14"/>
  <c r="C11" i="14"/>
  <c r="A12" i="15"/>
  <c r="A13" i="15"/>
  <c r="A14" i="15"/>
  <c r="A15" i="15"/>
  <c r="A16" i="15"/>
  <c r="A17" i="15"/>
  <c r="A18" i="15"/>
  <c r="A11" i="15"/>
  <c r="J6" i="45" l="1"/>
  <c r="K5" i="45"/>
  <c r="J6" i="43"/>
  <c r="K5" i="43"/>
  <c r="J6" i="41"/>
  <c r="K5" i="41"/>
  <c r="J5" i="39"/>
  <c r="I6" i="39"/>
  <c r="I5" i="37"/>
  <c r="H6" i="37"/>
  <c r="I5" i="35"/>
  <c r="H6" i="35"/>
  <c r="R18" i="34"/>
  <c r="P18" i="34"/>
  <c r="O18" i="34"/>
  <c r="N18" i="34"/>
  <c r="E18" i="34"/>
  <c r="D18" i="34"/>
  <c r="C18" i="34"/>
  <c r="R17" i="34"/>
  <c r="P17" i="34"/>
  <c r="O17" i="34"/>
  <c r="N17" i="34"/>
  <c r="E17" i="34"/>
  <c r="D17" i="34"/>
  <c r="C17" i="34"/>
  <c r="R16" i="34"/>
  <c r="P16" i="34"/>
  <c r="O16" i="34"/>
  <c r="N16" i="34"/>
  <c r="E16" i="34"/>
  <c r="D16" i="34"/>
  <c r="C16" i="34"/>
  <c r="R10" i="34"/>
  <c r="R14" i="34" s="1"/>
  <c r="P10" i="34"/>
  <c r="P14" i="34" s="1"/>
  <c r="O10" i="34"/>
  <c r="O14" i="34" s="1"/>
  <c r="N10" i="34"/>
  <c r="N14" i="34" s="1"/>
  <c r="E10" i="34"/>
  <c r="E14" i="34" s="1"/>
  <c r="D10" i="34"/>
  <c r="C10" i="34"/>
  <c r="E4" i="34"/>
  <c r="AL20" i="33"/>
  <c r="D20" i="33"/>
  <c r="C20" i="33"/>
  <c r="AL18" i="33"/>
  <c r="D18" i="33"/>
  <c r="C18" i="33"/>
  <c r="A18" i="33"/>
  <c r="A20" i="33" s="1"/>
  <c r="AL16" i="33"/>
  <c r="D16" i="33"/>
  <c r="C16" i="33"/>
  <c r="AL13" i="33"/>
  <c r="D13" i="33"/>
  <c r="C13" i="33"/>
  <c r="A13" i="33"/>
  <c r="AL9" i="33"/>
  <c r="D9" i="33"/>
  <c r="C9" i="33"/>
  <c r="F5" i="33"/>
  <c r="G5" i="33" s="1"/>
  <c r="S1" i="33"/>
  <c r="K6" i="45" l="1"/>
  <c r="L5" i="45"/>
  <c r="K6" i="43"/>
  <c r="L5" i="43"/>
  <c r="N20" i="34"/>
  <c r="K6" i="41"/>
  <c r="L5" i="41"/>
  <c r="J6" i="39"/>
  <c r="K5" i="39"/>
  <c r="O20" i="34"/>
  <c r="J5" i="37"/>
  <c r="I6" i="37"/>
  <c r="P20" i="34"/>
  <c r="E20" i="34"/>
  <c r="R20" i="34"/>
  <c r="J5" i="35"/>
  <c r="I6" i="35"/>
  <c r="S22" i="34"/>
  <c r="F6" i="33"/>
  <c r="G6" i="33"/>
  <c r="H5" i="33"/>
  <c r="D1" i="34"/>
  <c r="M5" i="45" l="1"/>
  <c r="L6" i="45"/>
  <c r="M5" i="43"/>
  <c r="L6" i="43"/>
  <c r="M5" i="41"/>
  <c r="L6" i="41"/>
  <c r="K6" i="39"/>
  <c r="L5" i="39"/>
  <c r="J6" i="37"/>
  <c r="K5" i="37"/>
  <c r="J6" i="35"/>
  <c r="K5" i="35"/>
  <c r="I5" i="33"/>
  <c r="H6" i="33"/>
  <c r="J19" i="15"/>
  <c r="F19" i="15"/>
  <c r="N5" i="45" l="1"/>
  <c r="M6" i="45"/>
  <c r="N5" i="43"/>
  <c r="M6" i="43"/>
  <c r="N5" i="41"/>
  <c r="M6" i="41"/>
  <c r="M5" i="39"/>
  <c r="L6" i="39"/>
  <c r="K6" i="37"/>
  <c r="L5" i="37"/>
  <c r="K6" i="35"/>
  <c r="L5" i="35"/>
  <c r="J5" i="33"/>
  <c r="I6" i="33"/>
  <c r="E4" i="16"/>
  <c r="N6" i="45" l="1"/>
  <c r="O5" i="45"/>
  <c r="N6" i="43"/>
  <c r="O5" i="43"/>
  <c r="N6" i="41"/>
  <c r="O5" i="41"/>
  <c r="N5" i="39"/>
  <c r="M6" i="39"/>
  <c r="M5" i="37"/>
  <c r="L6" i="37"/>
  <c r="M5" i="35"/>
  <c r="L6" i="35"/>
  <c r="D1" i="16"/>
  <c r="J6" i="33"/>
  <c r="K5" i="33"/>
  <c r="S22" i="16"/>
  <c r="O6" i="45" l="1"/>
  <c r="P5" i="45"/>
  <c r="O6" i="43"/>
  <c r="P5" i="43"/>
  <c r="O6" i="41"/>
  <c r="P5" i="41"/>
  <c r="N6" i="39"/>
  <c r="O5" i="39"/>
  <c r="N5" i="37"/>
  <c r="M6" i="37"/>
  <c r="N5" i="35"/>
  <c r="M6" i="35"/>
  <c r="K6" i="33"/>
  <c r="L5" i="33"/>
  <c r="M74" i="15"/>
  <c r="N102" i="15" s="1"/>
  <c r="M75" i="15"/>
  <c r="N104" i="15" s="1"/>
  <c r="M76" i="15"/>
  <c r="N106" i="15" s="1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46" i="15"/>
  <c r="J20" i="15" a="1"/>
  <c r="J20" i="15" s="1"/>
  <c r="Q5" i="45" l="1"/>
  <c r="P6" i="45"/>
  <c r="Q5" i="43"/>
  <c r="P6" i="43"/>
  <c r="Q5" i="41"/>
  <c r="P6" i="41"/>
  <c r="O6" i="39"/>
  <c r="P5" i="39"/>
  <c r="N6" i="37"/>
  <c r="O5" i="37"/>
  <c r="N6" i="35"/>
  <c r="O5" i="35"/>
  <c r="M5" i="33"/>
  <c r="L6" i="33"/>
  <c r="AL18" i="14"/>
  <c r="AL20" i="14"/>
  <c r="AL16" i="14"/>
  <c r="AL13" i="14"/>
  <c r="AL9" i="14"/>
  <c r="R5" i="45" l="1"/>
  <c r="Q6" i="45"/>
  <c r="R5" i="43"/>
  <c r="Q6" i="43"/>
  <c r="R5" i="41"/>
  <c r="Q6" i="41"/>
  <c r="Q5" i="39"/>
  <c r="P6" i="39"/>
  <c r="O6" i="37"/>
  <c r="P5" i="37"/>
  <c r="O6" i="35"/>
  <c r="P5" i="35"/>
  <c r="N5" i="33"/>
  <c r="M6" i="33"/>
  <c r="N48" i="15"/>
  <c r="N50" i="15"/>
  <c r="N52" i="15"/>
  <c r="N54" i="15"/>
  <c r="N56" i="15"/>
  <c r="N58" i="15"/>
  <c r="N60" i="15"/>
  <c r="N62" i="15"/>
  <c r="N64" i="15"/>
  <c r="N66" i="15"/>
  <c r="N68" i="15"/>
  <c r="N70" i="15"/>
  <c r="N72" i="15"/>
  <c r="N74" i="15"/>
  <c r="N76" i="15"/>
  <c r="N78" i="15"/>
  <c r="N80" i="15"/>
  <c r="N82" i="15"/>
  <c r="N84" i="15"/>
  <c r="N86" i="15"/>
  <c r="N88" i="15"/>
  <c r="N90" i="15"/>
  <c r="N92" i="15"/>
  <c r="N94" i="15"/>
  <c r="N96" i="15"/>
  <c r="N98" i="15"/>
  <c r="N100" i="15"/>
  <c r="N46" i="15"/>
  <c r="R6" i="45" l="1"/>
  <c r="S5" i="45"/>
  <c r="R6" i="43"/>
  <c r="S5" i="43"/>
  <c r="R6" i="41"/>
  <c r="S5" i="41"/>
  <c r="R5" i="39"/>
  <c r="Q6" i="39"/>
  <c r="Q5" i="37"/>
  <c r="P6" i="37"/>
  <c r="Q5" i="35"/>
  <c r="P6" i="35"/>
  <c r="N6" i="33"/>
  <c r="O5" i="33"/>
  <c r="S1" i="14"/>
  <c r="E19" i="15"/>
  <c r="S6" i="45" l="1"/>
  <c r="T5" i="45"/>
  <c r="S6" i="43"/>
  <c r="T5" i="43"/>
  <c r="S6" i="41"/>
  <c r="T5" i="41"/>
  <c r="R6" i="39"/>
  <c r="S5" i="39"/>
  <c r="R5" i="37"/>
  <c r="Q6" i="37"/>
  <c r="R5" i="35"/>
  <c r="Q6" i="35"/>
  <c r="O6" i="33"/>
  <c r="P5" i="33"/>
  <c r="K20" i="15" a="1"/>
  <c r="K20" i="15" s="1"/>
  <c r="L20" i="15" a="1"/>
  <c r="L20" i="15" s="1"/>
  <c r="M20" i="15" a="1"/>
  <c r="M20" i="15" s="1"/>
  <c r="N20" i="15" a="1"/>
  <c r="N20" i="15" s="1"/>
  <c r="O20" i="15" a="1"/>
  <c r="O20" i="15" s="1"/>
  <c r="P20" i="15" a="1"/>
  <c r="P20" i="15" s="1"/>
  <c r="Q20" i="15" a="1"/>
  <c r="Q20" i="15" s="1"/>
  <c r="R20" i="15" a="1"/>
  <c r="R20" i="15" s="1"/>
  <c r="S20" i="15" a="1"/>
  <c r="S20" i="15" s="1"/>
  <c r="T20" i="15" a="1"/>
  <c r="T20" i="15" s="1"/>
  <c r="U20" i="15" a="1"/>
  <c r="U20" i="15" s="1"/>
  <c r="D20" i="14"/>
  <c r="D18" i="14"/>
  <c r="A18" i="14"/>
  <c r="A20" i="14" s="1"/>
  <c r="D16" i="14"/>
  <c r="U19" i="15"/>
  <c r="K19" i="15"/>
  <c r="L19" i="15"/>
  <c r="M19" i="15"/>
  <c r="N19" i="15"/>
  <c r="O19" i="15"/>
  <c r="P19" i="15"/>
  <c r="Q19" i="15"/>
  <c r="R19" i="15"/>
  <c r="S19" i="15"/>
  <c r="T19" i="15"/>
  <c r="G19" i="15"/>
  <c r="H19" i="15"/>
  <c r="C13" i="14"/>
  <c r="A6" i="15"/>
  <c r="U5" i="45" l="1"/>
  <c r="T6" i="45"/>
  <c r="U5" i="43"/>
  <c r="T6" i="43"/>
  <c r="U5" i="41"/>
  <c r="T6" i="41"/>
  <c r="S6" i="39"/>
  <c r="T5" i="39"/>
  <c r="R6" i="37"/>
  <c r="S5" i="37"/>
  <c r="R6" i="35"/>
  <c r="S5" i="35"/>
  <c r="Q5" i="33"/>
  <c r="P6" i="33"/>
  <c r="C20" i="14"/>
  <c r="C16" i="14"/>
  <c r="C18" i="14"/>
  <c r="D13" i="14"/>
  <c r="D9" i="14"/>
  <c r="C9" i="14"/>
  <c r="F5" i="14"/>
  <c r="V5" i="45" l="1"/>
  <c r="U6" i="45"/>
  <c r="V5" i="43"/>
  <c r="U6" i="43"/>
  <c r="V5" i="41"/>
  <c r="U6" i="41"/>
  <c r="U5" i="39"/>
  <c r="T6" i="39"/>
  <c r="S6" i="37"/>
  <c r="T5" i="37"/>
  <c r="S6" i="35"/>
  <c r="T5" i="35"/>
  <c r="R5" i="33"/>
  <c r="Q6" i="33"/>
  <c r="F6" i="14"/>
  <c r="G5" i="14"/>
  <c r="V6" i="45" l="1"/>
  <c r="W5" i="45"/>
  <c r="V6" i="43"/>
  <c r="W5" i="43"/>
  <c r="V6" i="41"/>
  <c r="W5" i="41"/>
  <c r="V5" i="39"/>
  <c r="U6" i="39"/>
  <c r="U5" i="37"/>
  <c r="T6" i="37"/>
  <c r="U5" i="35"/>
  <c r="T6" i="35"/>
  <c r="R6" i="33"/>
  <c r="S5" i="33"/>
  <c r="H5" i="14"/>
  <c r="G6" i="14"/>
  <c r="W6" i="45" l="1"/>
  <c r="X5" i="45"/>
  <c r="W6" i="43"/>
  <c r="X5" i="43"/>
  <c r="W6" i="41"/>
  <c r="X5" i="41"/>
  <c r="V6" i="39"/>
  <c r="W5" i="39"/>
  <c r="V5" i="37"/>
  <c r="U6" i="37"/>
  <c r="V5" i="35"/>
  <c r="U6" i="35"/>
  <c r="S6" i="33"/>
  <c r="T5" i="33"/>
  <c r="H6" i="14"/>
  <c r="I5" i="14"/>
  <c r="Y5" i="45" l="1"/>
  <c r="X6" i="45"/>
  <c r="Y5" i="43"/>
  <c r="X6" i="43"/>
  <c r="Y5" i="41"/>
  <c r="X6" i="41"/>
  <c r="W6" i="39"/>
  <c r="X5" i="39"/>
  <c r="V6" i="37"/>
  <c r="W5" i="37"/>
  <c r="V6" i="35"/>
  <c r="W5" i="35"/>
  <c r="U5" i="33"/>
  <c r="T6" i="33"/>
  <c r="I6" i="14"/>
  <c r="J5" i="14"/>
  <c r="Z5" i="45" l="1"/>
  <c r="Y6" i="45"/>
  <c r="Z5" i="43"/>
  <c r="Y6" i="43"/>
  <c r="Z5" i="41"/>
  <c r="Y6" i="41"/>
  <c r="Y5" i="39"/>
  <c r="X6" i="39"/>
  <c r="W6" i="37"/>
  <c r="X5" i="37"/>
  <c r="W6" i="35"/>
  <c r="X5" i="35"/>
  <c r="V5" i="33"/>
  <c r="U6" i="33"/>
  <c r="K5" i="14"/>
  <c r="J6" i="14"/>
  <c r="Z6" i="45" l="1"/>
  <c r="AA5" i="45"/>
  <c r="Z6" i="43"/>
  <c r="AA5" i="43"/>
  <c r="Z6" i="41"/>
  <c r="AA5" i="41"/>
  <c r="Z5" i="39"/>
  <c r="Y6" i="39"/>
  <c r="Y5" i="37"/>
  <c r="X6" i="37"/>
  <c r="Y5" i="35"/>
  <c r="X6" i="35"/>
  <c r="V6" i="33"/>
  <c r="W5" i="33"/>
  <c r="K6" i="14"/>
  <c r="L5" i="14"/>
  <c r="AA6" i="45" l="1"/>
  <c r="AB5" i="45"/>
  <c r="AA6" i="43"/>
  <c r="AB5" i="43"/>
  <c r="AA6" i="41"/>
  <c r="AB5" i="41"/>
  <c r="Z6" i="39"/>
  <c r="AA5" i="39"/>
  <c r="Z5" i="37"/>
  <c r="Y6" i="37"/>
  <c r="Z5" i="35"/>
  <c r="Y6" i="35"/>
  <c r="W6" i="33"/>
  <c r="X5" i="33"/>
  <c r="M5" i="14"/>
  <c r="L6" i="14"/>
  <c r="AC5" i="45" l="1"/>
  <c r="AB6" i="45"/>
  <c r="AC5" i="43"/>
  <c r="AB6" i="43"/>
  <c r="AC5" i="41"/>
  <c r="AB6" i="41"/>
  <c r="AA6" i="39"/>
  <c r="AB5" i="39"/>
  <c r="Z6" i="37"/>
  <c r="AA5" i="37"/>
  <c r="Z6" i="35"/>
  <c r="AA5" i="35"/>
  <c r="Y5" i="33"/>
  <c r="X6" i="33"/>
  <c r="N5" i="14"/>
  <c r="M6" i="14"/>
  <c r="AD5" i="45" l="1"/>
  <c r="AC6" i="45"/>
  <c r="AD5" i="43"/>
  <c r="AC6" i="43"/>
  <c r="AD5" i="41"/>
  <c r="AC6" i="41"/>
  <c r="AC5" i="39"/>
  <c r="AB6" i="39"/>
  <c r="AA6" i="37"/>
  <c r="AB5" i="37"/>
  <c r="AA6" i="35"/>
  <c r="AB5" i="35"/>
  <c r="Z5" i="33"/>
  <c r="Y6" i="33"/>
  <c r="O5" i="14"/>
  <c r="N6" i="14"/>
  <c r="AD6" i="45" l="1"/>
  <c r="AE5" i="45"/>
  <c r="AD6" i="43"/>
  <c r="AE5" i="43"/>
  <c r="AD6" i="41"/>
  <c r="AE5" i="41"/>
  <c r="AD5" i="39"/>
  <c r="AC6" i="39"/>
  <c r="AC5" i="37"/>
  <c r="AB6" i="37"/>
  <c r="AC5" i="35"/>
  <c r="AB6" i="35"/>
  <c r="Z6" i="33"/>
  <c r="AA5" i="33"/>
  <c r="P5" i="14"/>
  <c r="O6" i="14"/>
  <c r="AE6" i="45" l="1"/>
  <c r="AF5" i="45"/>
  <c r="AE6" i="43"/>
  <c r="AF5" i="43"/>
  <c r="AE6" i="41"/>
  <c r="AF5" i="41"/>
  <c r="AD6" i="39"/>
  <c r="AE5" i="39"/>
  <c r="AD5" i="37"/>
  <c r="AC6" i="37"/>
  <c r="AD5" i="35"/>
  <c r="AC6" i="35"/>
  <c r="AA6" i="33"/>
  <c r="AB5" i="33"/>
  <c r="P6" i="14"/>
  <c r="Q5" i="14"/>
  <c r="AG5" i="45" l="1"/>
  <c r="AF6" i="45"/>
  <c r="AG5" i="43"/>
  <c r="AF6" i="43"/>
  <c r="AG5" i="41"/>
  <c r="AF6" i="41"/>
  <c r="AE6" i="39"/>
  <c r="AF5" i="39"/>
  <c r="AD6" i="37"/>
  <c r="AE5" i="37"/>
  <c r="AD6" i="35"/>
  <c r="AE5" i="35"/>
  <c r="AC5" i="33"/>
  <c r="AB6" i="33"/>
  <c r="R5" i="14"/>
  <c r="Q6" i="14"/>
  <c r="AH5" i="45" l="1"/>
  <c r="AG6" i="45"/>
  <c r="AH5" i="43"/>
  <c r="AG6" i="43"/>
  <c r="AH5" i="41"/>
  <c r="AG6" i="41"/>
  <c r="AG5" i="39"/>
  <c r="AF6" i="39"/>
  <c r="AE6" i="37"/>
  <c r="AF5" i="37"/>
  <c r="AE6" i="35"/>
  <c r="AF5" i="35"/>
  <c r="AD5" i="33"/>
  <c r="AC6" i="33"/>
  <c r="S5" i="14"/>
  <c r="R6" i="14"/>
  <c r="AH6" i="45" l="1"/>
  <c r="AI5" i="45"/>
  <c r="AH6" i="43"/>
  <c r="AI5" i="43"/>
  <c r="AH6" i="41"/>
  <c r="AI5" i="41"/>
  <c r="AH5" i="39"/>
  <c r="AG6" i="39"/>
  <c r="AG5" i="37"/>
  <c r="AF6" i="37"/>
  <c r="AG5" i="35"/>
  <c r="AF6" i="35"/>
  <c r="AD6" i="33"/>
  <c r="AE5" i="33"/>
  <c r="S6" i="14"/>
  <c r="T5" i="14"/>
  <c r="AI6" i="45" l="1"/>
  <c r="AJ5" i="45"/>
  <c r="AJ6" i="45" s="1"/>
  <c r="AI6" i="43"/>
  <c r="AJ5" i="43"/>
  <c r="AJ6" i="43" s="1"/>
  <c r="AI6" i="41"/>
  <c r="AJ5" i="41"/>
  <c r="AJ6" i="41" s="1"/>
  <c r="AH6" i="39"/>
  <c r="AI5" i="39"/>
  <c r="AH5" i="37"/>
  <c r="AG6" i="37"/>
  <c r="AH5" i="35"/>
  <c r="AG6" i="35"/>
  <c r="AE6" i="33"/>
  <c r="AF5" i="33"/>
  <c r="T6" i="14"/>
  <c r="U5" i="14"/>
  <c r="AM13" i="43" l="1"/>
  <c r="AK13" i="43"/>
  <c r="AM18" i="45"/>
  <c r="H17" i="46" s="1"/>
  <c r="AK18" i="45"/>
  <c r="AK20" i="45"/>
  <c r="AN20" i="45" s="1"/>
  <c r="AM20" i="45"/>
  <c r="H18" i="46" s="1"/>
  <c r="AK13" i="41"/>
  <c r="AM13" i="41"/>
  <c r="H12" i="42" s="1"/>
  <c r="I12" i="42" s="1"/>
  <c r="AK20" i="43"/>
  <c r="AM20" i="43"/>
  <c r="H18" i="44" s="1"/>
  <c r="I18" i="44" s="1"/>
  <c r="AM20" i="41"/>
  <c r="H18" i="42" s="1"/>
  <c r="I18" i="42" s="1"/>
  <c r="AK20" i="41"/>
  <c r="AK16" i="45"/>
  <c r="AM16" i="45"/>
  <c r="H16" i="46" s="1"/>
  <c r="AK13" i="45"/>
  <c r="F12" i="46" s="1"/>
  <c r="AM13" i="45"/>
  <c r="H12" i="46" s="1"/>
  <c r="AK9" i="45"/>
  <c r="AM9" i="45"/>
  <c r="H10" i="46" s="1"/>
  <c r="AM18" i="43"/>
  <c r="H17" i="44" s="1"/>
  <c r="I17" i="44" s="1"/>
  <c r="AK18" i="43"/>
  <c r="AK16" i="43"/>
  <c r="AK9" i="43"/>
  <c r="AM16" i="43"/>
  <c r="H16" i="44" s="1"/>
  <c r="I16" i="44" s="1"/>
  <c r="AM9" i="43"/>
  <c r="H10" i="44" s="1"/>
  <c r="I10" i="44" s="1"/>
  <c r="AK11" i="41"/>
  <c r="AK9" i="41"/>
  <c r="AK18" i="41"/>
  <c r="AM11" i="41"/>
  <c r="H11" i="42" s="1"/>
  <c r="I11" i="42" s="1"/>
  <c r="AK16" i="41"/>
  <c r="AM18" i="41"/>
  <c r="H17" i="42" s="1"/>
  <c r="I17" i="42" s="1"/>
  <c r="AM9" i="41"/>
  <c r="H10" i="42" s="1"/>
  <c r="I10" i="42" s="1"/>
  <c r="AM16" i="41"/>
  <c r="H16" i="42" s="1"/>
  <c r="I16" i="42" s="1"/>
  <c r="AI6" i="39"/>
  <c r="AJ5" i="39"/>
  <c r="AJ6" i="39" s="1"/>
  <c r="AH6" i="37"/>
  <c r="AI5" i="37"/>
  <c r="AH6" i="35"/>
  <c r="AI5" i="35"/>
  <c r="AG5" i="33"/>
  <c r="AF6" i="33"/>
  <c r="V5" i="14"/>
  <c r="U6" i="14"/>
  <c r="J12" i="46" l="1"/>
  <c r="I12" i="46"/>
  <c r="L12" i="46"/>
  <c r="G12" i="46"/>
  <c r="AN13" i="43"/>
  <c r="F17" i="46"/>
  <c r="L17" i="46" s="1"/>
  <c r="AN18" i="45"/>
  <c r="I14" i="44"/>
  <c r="AN13" i="41"/>
  <c r="F12" i="42"/>
  <c r="AN20" i="43"/>
  <c r="AN20" i="41"/>
  <c r="I14" i="42"/>
  <c r="I20" i="44"/>
  <c r="I20" i="42"/>
  <c r="AN13" i="45"/>
  <c r="F16" i="46"/>
  <c r="L16" i="46" s="1"/>
  <c r="AN16" i="45"/>
  <c r="AN9" i="45"/>
  <c r="F10" i="46"/>
  <c r="L10" i="46" s="1"/>
  <c r="F18" i="46"/>
  <c r="L18" i="46" s="1"/>
  <c r="F18" i="44"/>
  <c r="AN18" i="43"/>
  <c r="F17" i="44"/>
  <c r="AN9" i="43"/>
  <c r="F10" i="44"/>
  <c r="L10" i="44" s="1"/>
  <c r="F16" i="44"/>
  <c r="AN16" i="43"/>
  <c r="AN9" i="41"/>
  <c r="F10" i="42"/>
  <c r="F16" i="42"/>
  <c r="AN16" i="41"/>
  <c r="AN11" i="41"/>
  <c r="F11" i="42"/>
  <c r="F18" i="42"/>
  <c r="AN18" i="41"/>
  <c r="F17" i="42"/>
  <c r="AK13" i="39"/>
  <c r="AM18" i="39"/>
  <c r="H17" i="40" s="1"/>
  <c r="I17" i="40" s="1"/>
  <c r="AM13" i="39"/>
  <c r="H12" i="40" s="1"/>
  <c r="I12" i="40" s="1"/>
  <c r="AK16" i="39"/>
  <c r="AM20" i="39"/>
  <c r="H18" i="40" s="1"/>
  <c r="I18" i="40" s="1"/>
  <c r="AK18" i="39"/>
  <c r="AK11" i="39"/>
  <c r="AK20" i="39"/>
  <c r="AM9" i="39"/>
  <c r="H10" i="40" s="1"/>
  <c r="I10" i="40" s="1"/>
  <c r="AK9" i="39"/>
  <c r="AM11" i="39"/>
  <c r="H11" i="40" s="1"/>
  <c r="I11" i="40" s="1"/>
  <c r="AM16" i="39"/>
  <c r="H16" i="40" s="1"/>
  <c r="I16" i="40" s="1"/>
  <c r="AI6" i="37"/>
  <c r="AJ5" i="37"/>
  <c r="AJ6" i="37" s="1"/>
  <c r="AI6" i="35"/>
  <c r="AJ5" i="35"/>
  <c r="AJ6" i="35" s="1"/>
  <c r="AH5" i="33"/>
  <c r="AG6" i="33"/>
  <c r="W5" i="14"/>
  <c r="V6" i="14"/>
  <c r="K12" i="46" l="1"/>
  <c r="M12" i="46" s="1"/>
  <c r="Q12" i="46" s="1"/>
  <c r="S12" i="46" s="1"/>
  <c r="G17" i="46"/>
  <c r="J17" i="46"/>
  <c r="G12" i="42"/>
  <c r="K12" i="42" s="1"/>
  <c r="M12" i="42" s="1"/>
  <c r="Q12" i="42" s="1"/>
  <c r="S12" i="42" s="1"/>
  <c r="J12" i="42"/>
  <c r="J10" i="46"/>
  <c r="J18" i="46"/>
  <c r="J16" i="46"/>
  <c r="L14" i="44"/>
  <c r="G10" i="44"/>
  <c r="J10" i="44"/>
  <c r="J17" i="44"/>
  <c r="G17" i="44"/>
  <c r="K17" i="44" s="1"/>
  <c r="J16" i="44"/>
  <c r="G16" i="44"/>
  <c r="G18" i="44"/>
  <c r="K18" i="44" s="1"/>
  <c r="J18" i="44"/>
  <c r="L17" i="42"/>
  <c r="G17" i="42"/>
  <c r="K17" i="42" s="1"/>
  <c r="J17" i="42"/>
  <c r="L11" i="42"/>
  <c r="G11" i="42"/>
  <c r="K11" i="42" s="1"/>
  <c r="J11" i="42"/>
  <c r="J16" i="42"/>
  <c r="L16" i="42"/>
  <c r="G16" i="42"/>
  <c r="L10" i="42"/>
  <c r="G10" i="42"/>
  <c r="J10" i="42"/>
  <c r="L18" i="42"/>
  <c r="G18" i="42"/>
  <c r="K18" i="42" s="1"/>
  <c r="J18" i="42"/>
  <c r="I20" i="40"/>
  <c r="F18" i="40"/>
  <c r="AN20" i="39"/>
  <c r="F16" i="40"/>
  <c r="AN16" i="39"/>
  <c r="F11" i="40"/>
  <c r="AN11" i="39"/>
  <c r="AN9" i="39"/>
  <c r="F10" i="40"/>
  <c r="AN18" i="39"/>
  <c r="F17" i="40"/>
  <c r="I14" i="40"/>
  <c r="F12" i="40"/>
  <c r="AN13" i="39"/>
  <c r="AK9" i="37"/>
  <c r="AM11" i="37"/>
  <c r="H11" i="38" s="1"/>
  <c r="I11" i="38" s="1"/>
  <c r="AK18" i="37"/>
  <c r="AK13" i="37"/>
  <c r="AM9" i="37"/>
  <c r="H10" i="38" s="1"/>
  <c r="I10" i="38" s="1"/>
  <c r="AK11" i="37"/>
  <c r="AM18" i="37"/>
  <c r="H17" i="38" s="1"/>
  <c r="I17" i="38" s="1"/>
  <c r="AM13" i="37"/>
  <c r="H12" i="38" s="1"/>
  <c r="I12" i="38" s="1"/>
  <c r="AM20" i="37"/>
  <c r="H18" i="38" s="1"/>
  <c r="I18" i="38" s="1"/>
  <c r="AM16" i="37"/>
  <c r="H16" i="38" s="1"/>
  <c r="I16" i="38" s="1"/>
  <c r="AK16" i="37"/>
  <c r="AK20" i="37"/>
  <c r="AK9" i="35"/>
  <c r="AM13" i="35"/>
  <c r="H12" i="36" s="1"/>
  <c r="I12" i="36" s="1"/>
  <c r="AK18" i="35"/>
  <c r="AK11" i="35"/>
  <c r="AM18" i="35"/>
  <c r="H17" i="36" s="1"/>
  <c r="I17" i="36" s="1"/>
  <c r="AK20" i="35"/>
  <c r="AK16" i="35"/>
  <c r="AM20" i="35"/>
  <c r="H18" i="36" s="1"/>
  <c r="I18" i="36" s="1"/>
  <c r="AK13" i="35"/>
  <c r="AM11" i="35"/>
  <c r="H11" i="36" s="1"/>
  <c r="I11" i="36" s="1"/>
  <c r="AM16" i="35"/>
  <c r="H16" i="36" s="1"/>
  <c r="I16" i="36" s="1"/>
  <c r="AM9" i="35"/>
  <c r="H10" i="36" s="1"/>
  <c r="I10" i="36" s="1"/>
  <c r="AH6" i="33"/>
  <c r="AI5" i="33"/>
  <c r="X5" i="14"/>
  <c r="W6" i="14"/>
  <c r="I16" i="46" l="1"/>
  <c r="G10" i="46"/>
  <c r="I10" i="46"/>
  <c r="G16" i="46"/>
  <c r="G18" i="46"/>
  <c r="I18" i="46"/>
  <c r="I17" i="46"/>
  <c r="K17" i="46" s="1"/>
  <c r="M17" i="46" s="1"/>
  <c r="Q17" i="46" s="1"/>
  <c r="S17" i="46" s="1"/>
  <c r="L14" i="46"/>
  <c r="G14" i="44"/>
  <c r="M17" i="42"/>
  <c r="Q17" i="42" s="1"/>
  <c r="S17" i="42" s="1"/>
  <c r="M18" i="42"/>
  <c r="Q18" i="42" s="1"/>
  <c r="S18" i="42" s="1"/>
  <c r="L20" i="46"/>
  <c r="L20" i="44"/>
  <c r="L14" i="42"/>
  <c r="M17" i="44"/>
  <c r="Q17" i="44" s="1"/>
  <c r="S17" i="44" s="1"/>
  <c r="G20" i="44"/>
  <c r="K16" i="44"/>
  <c r="K10" i="44"/>
  <c r="K14" i="44" s="1"/>
  <c r="M18" i="44"/>
  <c r="Q18" i="44" s="1"/>
  <c r="S18" i="44" s="1"/>
  <c r="L20" i="42"/>
  <c r="G14" i="42"/>
  <c r="K10" i="42"/>
  <c r="G20" i="42"/>
  <c r="K16" i="42"/>
  <c r="M11" i="42"/>
  <c r="Q11" i="42" s="1"/>
  <c r="S11" i="42" s="1"/>
  <c r="J12" i="40"/>
  <c r="L12" i="40"/>
  <c r="G12" i="40"/>
  <c r="K12" i="40" s="1"/>
  <c r="L10" i="40"/>
  <c r="G10" i="40"/>
  <c r="J10" i="40"/>
  <c r="J16" i="40"/>
  <c r="L16" i="40"/>
  <c r="G16" i="40"/>
  <c r="L17" i="40"/>
  <c r="G17" i="40"/>
  <c r="K17" i="40" s="1"/>
  <c r="J17" i="40"/>
  <c r="L11" i="40"/>
  <c r="G11" i="40"/>
  <c r="K11" i="40" s="1"/>
  <c r="J11" i="40"/>
  <c r="L18" i="40"/>
  <c r="G18" i="40"/>
  <c r="K18" i="40" s="1"/>
  <c r="J18" i="40"/>
  <c r="I14" i="38"/>
  <c r="F18" i="38"/>
  <c r="AN20" i="37"/>
  <c r="F12" i="38"/>
  <c r="AN13" i="37"/>
  <c r="F16" i="38"/>
  <c r="AN16" i="37"/>
  <c r="AN18" i="37"/>
  <c r="F17" i="38"/>
  <c r="I20" i="38"/>
  <c r="F11" i="38"/>
  <c r="AN11" i="37"/>
  <c r="AN9" i="37"/>
  <c r="F10" i="38"/>
  <c r="I20" i="36"/>
  <c r="I14" i="36"/>
  <c r="AN11" i="35"/>
  <c r="F11" i="36"/>
  <c r="F16" i="36"/>
  <c r="AN16" i="35"/>
  <c r="AN18" i="35"/>
  <c r="F17" i="36"/>
  <c r="F18" i="36"/>
  <c r="AN20" i="35"/>
  <c r="F12" i="36"/>
  <c r="AN13" i="35"/>
  <c r="AN9" i="35"/>
  <c r="F10" i="36"/>
  <c r="AI6" i="33"/>
  <c r="AJ5" i="33"/>
  <c r="AJ6" i="33" s="1"/>
  <c r="Y5" i="14"/>
  <c r="X6" i="14"/>
  <c r="I14" i="46" l="1"/>
  <c r="K10" i="46"/>
  <c r="M10" i="46" s="1"/>
  <c r="I20" i="46"/>
  <c r="K18" i="46"/>
  <c r="M18" i="46" s="1"/>
  <c r="Q18" i="46" s="1"/>
  <c r="S18" i="46" s="1"/>
  <c r="K16" i="46"/>
  <c r="M16" i="46" s="1"/>
  <c r="G20" i="46"/>
  <c r="G14" i="46"/>
  <c r="M10" i="44"/>
  <c r="M14" i="44" s="1"/>
  <c r="K20" i="44"/>
  <c r="M16" i="44"/>
  <c r="K14" i="42"/>
  <c r="M10" i="42"/>
  <c r="K20" i="42"/>
  <c r="M16" i="42"/>
  <c r="M18" i="40"/>
  <c r="Q18" i="40" s="1"/>
  <c r="S18" i="40" s="1"/>
  <c r="M17" i="40"/>
  <c r="Q17" i="40" s="1"/>
  <c r="S17" i="40" s="1"/>
  <c r="M12" i="40"/>
  <c r="Q12" i="40" s="1"/>
  <c r="S12" i="40" s="1"/>
  <c r="L20" i="40"/>
  <c r="L14" i="40"/>
  <c r="M11" i="40"/>
  <c r="Q11" i="40" s="1"/>
  <c r="S11" i="40" s="1"/>
  <c r="G20" i="40"/>
  <c r="K16" i="40"/>
  <c r="G14" i="40"/>
  <c r="K10" i="40"/>
  <c r="J12" i="38"/>
  <c r="L12" i="38"/>
  <c r="G12" i="38"/>
  <c r="K12" i="38" s="1"/>
  <c r="L17" i="38"/>
  <c r="J17" i="38"/>
  <c r="G17" i="38"/>
  <c r="K17" i="38" s="1"/>
  <c r="L11" i="38"/>
  <c r="J11" i="38"/>
  <c r="G11" i="38"/>
  <c r="K11" i="38" s="1"/>
  <c r="L10" i="38"/>
  <c r="J10" i="38"/>
  <c r="G10" i="38"/>
  <c r="J16" i="38"/>
  <c r="L16" i="38"/>
  <c r="G16" i="38"/>
  <c r="L18" i="38"/>
  <c r="G18" i="38"/>
  <c r="K18" i="38" s="1"/>
  <c r="J18" i="38"/>
  <c r="L10" i="36"/>
  <c r="G10" i="36"/>
  <c r="J10" i="36"/>
  <c r="J16" i="36"/>
  <c r="L16" i="36"/>
  <c r="G16" i="36"/>
  <c r="L17" i="36"/>
  <c r="J17" i="36"/>
  <c r="G17" i="36"/>
  <c r="K17" i="36" s="1"/>
  <c r="L11" i="36"/>
  <c r="G11" i="36"/>
  <c r="K11" i="36" s="1"/>
  <c r="J11" i="36"/>
  <c r="L18" i="36"/>
  <c r="G18" i="36"/>
  <c r="K18" i="36" s="1"/>
  <c r="J18" i="36"/>
  <c r="J12" i="36"/>
  <c r="L12" i="36"/>
  <c r="G12" i="36"/>
  <c r="K12" i="36" s="1"/>
  <c r="AM11" i="33"/>
  <c r="H11" i="34" s="1"/>
  <c r="I11" i="34" s="1"/>
  <c r="AK11" i="33"/>
  <c r="AK18" i="33"/>
  <c r="AM18" i="33"/>
  <c r="H17" i="34" s="1"/>
  <c r="I17" i="34" s="1"/>
  <c r="AM9" i="33"/>
  <c r="H10" i="34" s="1"/>
  <c r="I10" i="34" s="1"/>
  <c r="AM16" i="33"/>
  <c r="H16" i="34" s="1"/>
  <c r="I16" i="34" s="1"/>
  <c r="AK9" i="33"/>
  <c r="AK20" i="33"/>
  <c r="AM20" i="33"/>
  <c r="H18" i="34" s="1"/>
  <c r="I18" i="34" s="1"/>
  <c r="AM13" i="33"/>
  <c r="H12" i="34" s="1"/>
  <c r="I12" i="34" s="1"/>
  <c r="AK16" i="33"/>
  <c r="AK13" i="33"/>
  <c r="F12" i="34" s="1"/>
  <c r="Z5" i="14"/>
  <c r="Y6" i="14"/>
  <c r="I14" i="34" l="1"/>
  <c r="K20" i="46"/>
  <c r="M14" i="46"/>
  <c r="K14" i="46"/>
  <c r="AN11" i="33"/>
  <c r="F11" i="34"/>
  <c r="J12" i="34"/>
  <c r="L12" i="34"/>
  <c r="G12" i="34"/>
  <c r="K12" i="34" s="1"/>
  <c r="Q10" i="46"/>
  <c r="Q14" i="46" s="1"/>
  <c r="Q16" i="46"/>
  <c r="M20" i="46"/>
  <c r="Q16" i="44"/>
  <c r="M20" i="44"/>
  <c r="Q10" i="44"/>
  <c r="Q14" i="44" s="1"/>
  <c r="Q16" i="42"/>
  <c r="M20" i="42"/>
  <c r="M11" i="36"/>
  <c r="Q11" i="36" s="1"/>
  <c r="S11" i="36" s="1"/>
  <c r="Q10" i="42"/>
  <c r="M14" i="42"/>
  <c r="K14" i="40"/>
  <c r="M10" i="40"/>
  <c r="K20" i="40"/>
  <c r="M16" i="40"/>
  <c r="M12" i="38"/>
  <c r="Q12" i="38" s="1"/>
  <c r="S12" i="38" s="1"/>
  <c r="L20" i="38"/>
  <c r="M17" i="38"/>
  <c r="Q17" i="38" s="1"/>
  <c r="S17" i="38" s="1"/>
  <c r="M18" i="38"/>
  <c r="Q18" i="38" s="1"/>
  <c r="S18" i="38" s="1"/>
  <c r="M11" i="38"/>
  <c r="Q11" i="38" s="1"/>
  <c r="S11" i="38" s="1"/>
  <c r="M12" i="36"/>
  <c r="Q12" i="36" s="1"/>
  <c r="S12" i="36" s="1"/>
  <c r="M18" i="36"/>
  <c r="Q18" i="36" s="1"/>
  <c r="S18" i="36" s="1"/>
  <c r="G14" i="38"/>
  <c r="K10" i="38"/>
  <c r="G20" i="38"/>
  <c r="K16" i="38"/>
  <c r="L14" i="38"/>
  <c r="G20" i="36"/>
  <c r="K16" i="36"/>
  <c r="G14" i="36"/>
  <c r="K10" i="36"/>
  <c r="M17" i="36"/>
  <c r="Q17" i="36" s="1"/>
  <c r="S17" i="36" s="1"/>
  <c r="L20" i="36"/>
  <c r="L14" i="36"/>
  <c r="I20" i="34"/>
  <c r="AN13" i="33"/>
  <c r="F18" i="34"/>
  <c r="AN20" i="33"/>
  <c r="AN16" i="33"/>
  <c r="F16" i="34"/>
  <c r="F10" i="34"/>
  <c r="AN9" i="33"/>
  <c r="AN18" i="33"/>
  <c r="F17" i="34"/>
  <c r="AA5" i="14"/>
  <c r="Z6" i="14"/>
  <c r="M12" i="34" l="1"/>
  <c r="Q12" i="34" s="1"/>
  <c r="S12" i="34" s="1"/>
  <c r="L11" i="34"/>
  <c r="J11" i="34"/>
  <c r="G11" i="34"/>
  <c r="K11" i="34" s="1"/>
  <c r="Q20" i="46"/>
  <c r="S16" i="46"/>
  <c r="S20" i="46" s="1"/>
  <c r="S10" i="46"/>
  <c r="S14" i="46" s="1"/>
  <c r="S10" i="44"/>
  <c r="S14" i="44" s="1"/>
  <c r="Q20" i="44"/>
  <c r="S16" i="44"/>
  <c r="S20" i="44" s="1"/>
  <c r="Q14" i="42"/>
  <c r="S10" i="42"/>
  <c r="S14" i="42" s="1"/>
  <c r="Q20" i="42"/>
  <c r="S16" i="42"/>
  <c r="S20" i="42" s="1"/>
  <c r="Q16" i="40"/>
  <c r="M20" i="40"/>
  <c r="Q10" i="40"/>
  <c r="M14" i="40"/>
  <c r="K14" i="38"/>
  <c r="M10" i="38"/>
  <c r="K20" i="38"/>
  <c r="M16" i="38"/>
  <c r="K14" i="36"/>
  <c r="M10" i="36"/>
  <c r="K20" i="36"/>
  <c r="M16" i="36"/>
  <c r="L17" i="34"/>
  <c r="G17" i="34"/>
  <c r="K17" i="34" s="1"/>
  <c r="J17" i="34"/>
  <c r="J18" i="34"/>
  <c r="L18" i="34"/>
  <c r="G18" i="34"/>
  <c r="K18" i="34" s="1"/>
  <c r="L16" i="34"/>
  <c r="G16" i="34"/>
  <c r="J16" i="34"/>
  <c r="J10" i="34"/>
  <c r="L10" i="34"/>
  <c r="G10" i="34"/>
  <c r="AB5" i="14"/>
  <c r="AA6" i="14"/>
  <c r="G14" i="34" l="1"/>
  <c r="M11" i="34"/>
  <c r="Q11" i="34" s="1"/>
  <c r="S11" i="34" s="1"/>
  <c r="L14" i="34"/>
  <c r="L20" i="34"/>
  <c r="Q14" i="40"/>
  <c r="S10" i="40"/>
  <c r="S14" i="40" s="1"/>
  <c r="Q20" i="40"/>
  <c r="S16" i="40"/>
  <c r="S20" i="40" s="1"/>
  <c r="Q16" i="38"/>
  <c r="M20" i="38"/>
  <c r="Q10" i="38"/>
  <c r="M14" i="38"/>
  <c r="Q16" i="36"/>
  <c r="M20" i="36"/>
  <c r="Q10" i="36"/>
  <c r="M14" i="36"/>
  <c r="K16" i="34"/>
  <c r="K20" i="34" s="1"/>
  <c r="G20" i="34"/>
  <c r="M18" i="34"/>
  <c r="Q18" i="34" s="1"/>
  <c r="S18" i="34" s="1"/>
  <c r="M17" i="34"/>
  <c r="Q17" i="34" s="1"/>
  <c r="S17" i="34" s="1"/>
  <c r="K10" i="34"/>
  <c r="K14" i="34" s="1"/>
  <c r="AB6" i="14"/>
  <c r="AC5" i="14"/>
  <c r="M16" i="34" l="1"/>
  <c r="Q16" i="34" s="1"/>
  <c r="Q14" i="38"/>
  <c r="S10" i="38"/>
  <c r="S14" i="38" s="1"/>
  <c r="Q20" i="38"/>
  <c r="S16" i="38"/>
  <c r="S20" i="38" s="1"/>
  <c r="Q14" i="36"/>
  <c r="S10" i="36"/>
  <c r="S14" i="36" s="1"/>
  <c r="Q20" i="36"/>
  <c r="S16" i="36"/>
  <c r="S20" i="36" s="1"/>
  <c r="M10" i="34"/>
  <c r="M14" i="34" s="1"/>
  <c r="AC6" i="14"/>
  <c r="AD5" i="14"/>
  <c r="M20" i="34" l="1"/>
  <c r="S16" i="34"/>
  <c r="S20" i="34" s="1"/>
  <c r="Q20" i="34"/>
  <c r="Q10" i="34"/>
  <c r="Q14" i="34" s="1"/>
  <c r="AD6" i="14"/>
  <c r="AE5" i="14"/>
  <c r="S10" i="34" l="1"/>
  <c r="S14" i="34" s="1"/>
  <c r="AF5" i="14"/>
  <c r="AE6" i="14"/>
  <c r="AF6" i="14" l="1"/>
  <c r="AG5" i="14"/>
  <c r="AH5" i="14" l="1"/>
  <c r="AG6" i="14"/>
  <c r="AI5" i="14" l="1"/>
  <c r="AH6" i="14"/>
  <c r="AJ5" i="14" l="1"/>
  <c r="AJ6" i="14" s="1"/>
  <c r="AI6" i="14"/>
  <c r="AK11" i="14" l="1"/>
  <c r="F11" i="16" s="1"/>
  <c r="AM11" i="14"/>
  <c r="H11" i="16" s="1"/>
  <c r="I11" i="16" s="1"/>
  <c r="AM18" i="14"/>
  <c r="H17" i="16" s="1"/>
  <c r="I17" i="16" s="1"/>
  <c r="AK9" i="14"/>
  <c r="F10" i="16" s="1"/>
  <c r="AK18" i="14"/>
  <c r="F17" i="16" s="1"/>
  <c r="AM20" i="14"/>
  <c r="H18" i="16" s="1"/>
  <c r="I18" i="16" s="1"/>
  <c r="AK16" i="14"/>
  <c r="F16" i="16" s="1"/>
  <c r="AK20" i="14"/>
  <c r="F18" i="16" s="1"/>
  <c r="AM9" i="14"/>
  <c r="H10" i="16" s="1"/>
  <c r="I10" i="16" s="1"/>
  <c r="AM16" i="14"/>
  <c r="H16" i="16" s="1"/>
  <c r="I16" i="16" s="1"/>
  <c r="AM13" i="14"/>
  <c r="H12" i="16" s="1"/>
  <c r="I12" i="16" s="1"/>
  <c r="AK13" i="14"/>
  <c r="F12" i="16" s="1"/>
  <c r="L16" i="16" l="1"/>
  <c r="G16" i="16"/>
  <c r="J16" i="16"/>
  <c r="I14" i="16"/>
  <c r="L12" i="16"/>
  <c r="G12" i="16"/>
  <c r="K12" i="16" s="1"/>
  <c r="J12" i="16"/>
  <c r="L18" i="16"/>
  <c r="J18" i="16"/>
  <c r="G18" i="16"/>
  <c r="K18" i="16" s="1"/>
  <c r="L10" i="16"/>
  <c r="G10" i="16"/>
  <c r="J10" i="16"/>
  <c r="I20" i="16"/>
  <c r="L17" i="16"/>
  <c r="G17" i="16"/>
  <c r="K17" i="16" s="1"/>
  <c r="J17" i="16"/>
  <c r="L11" i="16"/>
  <c r="G11" i="16"/>
  <c r="K11" i="16" s="1"/>
  <c r="J11" i="16"/>
  <c r="AN11" i="14"/>
  <c r="AN20" i="14"/>
  <c r="AN18" i="14"/>
  <c r="AN9" i="14"/>
  <c r="AN13" i="14"/>
  <c r="AN16" i="14"/>
  <c r="M18" i="16" l="1"/>
  <c r="Q18" i="16" s="1"/>
  <c r="S18" i="16" s="1"/>
  <c r="M11" i="16"/>
  <c r="Q11" i="16" s="1"/>
  <c r="S11" i="16" s="1"/>
  <c r="L14" i="16"/>
  <c r="M12" i="16"/>
  <c r="Q12" i="16" s="1"/>
  <c r="S12" i="16" s="1"/>
  <c r="K16" i="16"/>
  <c r="G20" i="16"/>
  <c r="M17" i="16"/>
  <c r="Q17" i="16" s="1"/>
  <c r="S17" i="16" s="1"/>
  <c r="K10" i="16"/>
  <c r="G14" i="16"/>
  <c r="L20" i="16"/>
  <c r="M10" i="16" l="1"/>
  <c r="K14" i="16"/>
  <c r="M16" i="16"/>
  <c r="K20" i="16"/>
  <c r="M20" i="16" l="1"/>
  <c r="Q16" i="16"/>
  <c r="M14" i="16"/>
  <c r="Q10" i="16"/>
  <c r="Q20" i="16" l="1"/>
  <c r="S16" i="16"/>
  <c r="S20" i="16" s="1"/>
  <c r="Q14" i="16"/>
  <c r="S10" i="16"/>
  <c r="S14" i="16" s="1"/>
</calcChain>
</file>

<file path=xl/sharedStrings.xml><?xml version="1.0" encoding="utf-8"?>
<sst xmlns="http://schemas.openxmlformats.org/spreadsheetml/2006/main" count="882" uniqueCount="181">
  <si>
    <t>Ghi chú</t>
  </si>
  <si>
    <t>Họ và Tên</t>
  </si>
  <si>
    <t>Chức Vụ</t>
  </si>
  <si>
    <t>Mã NV</t>
  </si>
  <si>
    <t>Thu nhập theo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</si>
  <si>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</si>
  <si>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</si>
  <si>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</si>
  <si>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</si>
  <si>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</si>
  <si>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</si>
  <si>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</si>
  <si>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</si>
  <si>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</si>
  <si>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</si>
  <si>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</si>
  <si>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</si>
  <si>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</si>
  <si>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</si>
  <si>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</si>
  <si>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</si>
  <si>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Họ và Tên:</t>
  </si>
  <si>
    <t>Giám đốc</t>
  </si>
  <si>
    <t>Tạm ứng</t>
  </si>
  <si>
    <t>Số người phụ thuộc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</si>
  <si>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</si>
  <si>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</si>
  <si>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</si>
  <si>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</si>
  <si>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</si>
  <si>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</si>
  <si>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</si>
  <si>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</si>
  <si>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Tham gia BH</t>
  </si>
  <si>
    <t>BHTN</t>
  </si>
  <si>
    <t>CẬP NHẬT THÔNG TIN NGƯỜI LAO ĐỘNG  HÀNG THÁNG</t>
  </si>
  <si>
    <t>Phụ cấp</t>
  </si>
  <si>
    <t>Ngày trong tháng</t>
  </si>
  <si>
    <t>Khác</t>
  </si>
  <si>
    <t>Tham gia công đoàn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</si>
  <si>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</si>
  <si>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</si>
  <si>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</si>
  <si>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</si>
  <si>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</si>
  <si>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</si>
  <si>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</si>
  <si>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</si>
  <si>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</si>
  <si>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</si>
  <si>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</si>
  <si>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</si>
  <si>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</si>
  <si>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</si>
  <si>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</si>
  <si>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Long An, Ngày     tháng     năm 2012</t>
  </si>
  <si>
    <t>Lương căn bản</t>
  </si>
  <si>
    <t>Cơm</t>
  </si>
  <si>
    <t>Ngày công
trong tháng</t>
  </si>
  <si>
    <t>Ngày công hành chính</t>
  </si>
  <si>
    <t>Người lập biểu</t>
  </si>
  <si>
    <t>ALTP001</t>
  </si>
  <si>
    <t>ALTP002</t>
  </si>
  <si>
    <t>ALTP003</t>
  </si>
  <si>
    <t>ALTP004</t>
  </si>
  <si>
    <t>ALTP005</t>
  </si>
  <si>
    <t>ALTP006</t>
  </si>
  <si>
    <t>ALTP007</t>
  </si>
  <si>
    <t>ALTP008</t>
  </si>
  <si>
    <t>ALTP009</t>
  </si>
  <si>
    <t>ALTP010</t>
  </si>
  <si>
    <t>ALTP011</t>
  </si>
  <si>
    <t>ALTP012</t>
  </si>
  <si>
    <t>ALTP013</t>
  </si>
  <si>
    <t>ALTP014</t>
  </si>
  <si>
    <t>ALTP015</t>
  </si>
  <si>
    <t>ALTP016</t>
  </si>
  <si>
    <t>ALTP017</t>
  </si>
  <si>
    <t>ALTP018</t>
  </si>
  <si>
    <t>ALTP019</t>
  </si>
  <si>
    <t>ALTP020</t>
  </si>
  <si>
    <t>ALTP021</t>
  </si>
  <si>
    <t>ALTP022</t>
  </si>
  <si>
    <t>ALTP023</t>
  </si>
  <si>
    <t>ALTP024</t>
  </si>
  <si>
    <t>ALTP025</t>
  </si>
  <si>
    <t>ALTP026</t>
  </si>
  <si>
    <t>ALTP027</t>
  </si>
  <si>
    <t>Công nhân</t>
  </si>
  <si>
    <t>ALTN001</t>
  </si>
  <si>
    <t>ALTN002</t>
  </si>
  <si>
    <t>ALTN003</t>
  </si>
  <si>
    <t>ALTN004</t>
  </si>
  <si>
    <t>ALTN005</t>
  </si>
  <si>
    <t>ALTN006</t>
  </si>
  <si>
    <t>ALTN007</t>
  </si>
  <si>
    <t>ALTN008</t>
  </si>
  <si>
    <t>ALTN009</t>
  </si>
  <si>
    <t>ALTN010</t>
  </si>
  <si>
    <t>ALTN011</t>
  </si>
  <si>
    <t>Nguyễn Văn Bé Hai</t>
  </si>
  <si>
    <t>Thạch Tiền</t>
  </si>
  <si>
    <t>Hứa Hậu</t>
  </si>
  <si>
    <t>Nguyễn Văn Tâm</t>
  </si>
  <si>
    <t>Sơn Lét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</si>
  <si>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</si>
  <si>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</si>
  <si>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</si>
  <si>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</si>
  <si>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</si>
  <si>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</si>
  <si>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</si>
  <si>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</si>
  <si>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</si>
  <si>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</si>
  <si>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</si>
  <si>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</si>
  <si>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 xml:space="preserve"> Lâm Thị Mộng Kiều </t>
  </si>
  <si>
    <t>Huỳnh Thị Hường</t>
  </si>
  <si>
    <t>Nguyễn Thị Rong</t>
  </si>
  <si>
    <t>Sơn Thị Nil</t>
  </si>
  <si>
    <t>Huỳnh Thị Bé Tha</t>
  </si>
  <si>
    <t>Huỳnh Thị Bé Thi</t>
  </si>
  <si>
    <t>Nguyễn Thị Kim Hồng</t>
  </si>
  <si>
    <t>Nguyễn Thị Lựu</t>
  </si>
  <si>
    <t>Lý Thị Được</t>
  </si>
  <si>
    <t>Lý La Quan</t>
  </si>
  <si>
    <t>Trà Thị Soi</t>
  </si>
  <si>
    <t>Nguyễn Thị Diễm Hương</t>
  </si>
  <si>
    <t>Sơn Thị Muỗi Tron</t>
  </si>
  <si>
    <t>Sơn Thị Thương</t>
  </si>
  <si>
    <t>Thạch Thị Som Ươne</t>
  </si>
  <si>
    <t>Huỳnh Thị Như</t>
  </si>
  <si>
    <t>Sơn Thị Chành Ny</t>
  </si>
  <si>
    <t>Sơn Thị Chành Đa</t>
  </si>
  <si>
    <t>TQL</t>
  </si>
  <si>
    <t>SLĐ</t>
  </si>
  <si>
    <t>TL - Chi</t>
  </si>
  <si>
    <t>Trần Thị Bích Phượng</t>
  </si>
  <si>
    <t>Trần Nhiên</t>
  </si>
  <si>
    <t>Sơn Thị Trường Sa</t>
  </si>
  <si>
    <t>Lâm Thị Sà Mít</t>
  </si>
  <si>
    <t>Trần Thị Toan</t>
  </si>
  <si>
    <t>Nguyễn Hữu Nhơn</t>
  </si>
  <si>
    <t>Huỳnh Minh Hiếu</t>
  </si>
  <si>
    <t>Lý Thị Sà Kha</t>
  </si>
  <si>
    <t>Thạch Giang</t>
  </si>
  <si>
    <t>Thạch Quyền</t>
  </si>
  <si>
    <t>Lâm Lin</t>
  </si>
  <si>
    <t>Lâm Chanh Đa Ra</t>
  </si>
  <si>
    <t>Phạm Thành Đô</t>
  </si>
  <si>
    <t>Sơn Pép</t>
  </si>
  <si>
    <t xml:space="preserve"> Lâm Thị Mộng Thường</t>
  </si>
  <si>
    <t>Công ty TNHH Hải sản An Lạc</t>
  </si>
  <si>
    <t>Địa chỉ: Lô A14, đường 4A, KCN Hải Sơn, Đức Hòa, Long An</t>
  </si>
  <si>
    <t>I</t>
  </si>
  <si>
    <t>II</t>
  </si>
  <si>
    <t>BP: Thành Phẩm:</t>
  </si>
  <si>
    <t>Tăng ca &amp; CN</t>
  </si>
  <si>
    <t>BP: Công Nhân:</t>
  </si>
  <si>
    <t>QL01</t>
  </si>
  <si>
    <t>QL02</t>
  </si>
  <si>
    <t>CN01</t>
  </si>
  <si>
    <t>CN02</t>
  </si>
  <si>
    <t>CN03</t>
  </si>
  <si>
    <t>Kinh Doanh</t>
  </si>
  <si>
    <t>Thợ in</t>
  </si>
  <si>
    <t>Thợ đóng - xả</t>
  </si>
  <si>
    <t>QL03</t>
  </si>
  <si>
    <t>BP: Quản lý :</t>
  </si>
  <si>
    <t>BP: Quản lý &amp; CN Trực Tiếp SX</t>
  </si>
  <si>
    <t>BP: Quản lý:</t>
  </si>
  <si>
    <t>Văn Phòng</t>
  </si>
  <si>
    <t>Tài xế</t>
  </si>
  <si>
    <t>Bùi Trường Giang</t>
  </si>
  <si>
    <t>Danh Sà Phép</t>
  </si>
  <si>
    <t>Lê Kim Ngọc Thảo</t>
  </si>
  <si>
    <t>Trần Hòa Toản</t>
  </si>
  <si>
    <t>Huỳnh Thanh Tùng</t>
  </si>
  <si>
    <t>2011</t>
  </si>
  <si>
    <t>Lê Hoàng Diệu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</si>
</sst>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1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1"/>
      <color rgb="FFFF000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07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287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0" fontId="102" fillId="0" borderId="0" xfId="0" applyFont="1" applyBorder="1" applyAlignment="1">
      <alignment horizontal="center" vertical="center"/>
    </xf>
    <xf numFmtId="169" fontId="102" fillId="0" borderId="0" xfId="337" applyNumberFormat="1" applyFont="1" applyBorder="1" applyAlignment="1">
      <alignment horizontal="center" vertical="center"/>
    </xf>
    <xf numFmtId="169" fontId="30" fillId="0" borderId="0" xfId="337" applyNumberFormat="1" applyFont="1" applyAlignment="1">
      <alignment vertical="center" wrapText="1"/>
    </xf>
    <xf numFmtId="0" fontId="102" fillId="0" borderId="0" xfId="0" applyFont="1" applyBorder="1" applyAlignment="1">
      <alignment vertical="center" wrapText="1"/>
    </xf>
    <xf numFmtId="169" fontId="102" fillId="0" borderId="0" xfId="337" applyNumberFormat="1" applyFont="1" applyAlignment="1">
      <alignment vertical="center" wrapText="1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102" fillId="0" borderId="0" xfId="337" applyNumberFormat="1" applyFont="1" applyBorder="1" applyAlignment="1">
      <alignment horizontal="center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77" fillId="26" borderId="14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43" fontId="30" fillId="0" borderId="24" xfId="337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30" fillId="0" borderId="0" xfId="0" applyFont="1" applyBorder="1"/>
    <xf numFmtId="0" fontId="105" fillId="0" borderId="0" xfId="0" applyFont="1" applyFill="1" applyBorder="1" applyAlignment="1">
      <alignment horizontal="center" vertical="center"/>
    </xf>
    <xf numFmtId="169" fontId="30" fillId="0" borderId="0" xfId="337" applyNumberFormat="1" applyFont="1"/>
    <xf numFmtId="169" fontId="102" fillId="0" borderId="0" xfId="337" applyNumberFormat="1" applyFont="1" applyBorder="1" applyAlignment="1">
      <alignment vertical="center"/>
    </xf>
    <xf numFmtId="169" fontId="102" fillId="0" borderId="0" xfId="337" applyNumberFormat="1" applyFont="1" applyBorder="1" applyAlignment="1">
      <alignment horizontal="left" vertical="center"/>
    </xf>
    <xf numFmtId="10" fontId="30" fillId="0" borderId="0" xfId="0" applyNumberFormat="1" applyFont="1" applyBorder="1"/>
    <xf numFmtId="169" fontId="30" fillId="0" borderId="0" xfId="337" applyNumberFormat="1" applyFont="1" applyBorder="1"/>
    <xf numFmtId="0" fontId="30" fillId="0" borderId="2" xfId="0" applyFont="1" applyFill="1" applyBorder="1" applyAlignment="1">
      <alignment horizontal="left" vertical="center" wrapText="1"/>
    </xf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0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4" fontId="109" fillId="0" borderId="26" xfId="0" applyNumberFormat="1" applyFont="1" applyBorder="1" applyAlignment="1"/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1" applyFont="1" applyFill="1" applyBorder="1" applyAlignment="1">
      <alignment horizontal="center" vertical="center"/>
    </xf>
    <xf numFmtId="0" fontId="98" fillId="0" borderId="24" xfId="421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1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2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3" fillId="0" borderId="26" xfId="0" applyFont="1" applyBorder="1" applyAlignment="1">
      <alignment vertical="center"/>
    </xf>
    <xf numFmtId="169" fontId="114" fillId="0" borderId="0" xfId="337" applyNumberFormat="1" applyFont="1"/>
    <xf numFmtId="0" fontId="114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0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0" fontId="100" fillId="0" borderId="6" xfId="0" applyFont="1" applyFill="1" applyBorder="1" applyAlignment="1">
      <alignment horizontal="center" vertical="center"/>
    </xf>
    <xf numFmtId="0" fontId="102" fillId="0" borderId="0" xfId="0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5" fillId="0" borderId="2" xfId="337" applyNumberFormat="1" applyFont="1" applyBorder="1" applyAlignment="1">
      <alignment horizontal="center" vertical="center" wrapText="1"/>
    </xf>
    <xf numFmtId="0" fontId="30" fillId="0" borderId="0" xfId="0" applyFont="1" applyAlignment="1"/>
    <xf numFmtId="0" fontId="102" fillId="0" borderId="12" xfId="0" applyFont="1" applyBorder="1" applyAlignment="1">
      <alignment vertical="center" wrapText="1"/>
    </xf>
    <xf numFmtId="14" fontId="109" fillId="0" borderId="26" xfId="0" applyNumberFormat="1" applyFont="1" applyBorder="1" applyAlignment="1">
      <alignment horizontal="center"/>
    </xf>
    <xf numFmtId="0" fontId="116" fillId="0" borderId="26" xfId="0" applyNumberFormat="1" applyFont="1" applyBorder="1" applyAlignment="1">
      <alignment horizontal="center"/>
    </xf>
    <xf numFmtId="0" fontId="115" fillId="0" borderId="2" xfId="0" applyFont="1" applyBorder="1" applyAlignment="1">
      <alignment horizontal="center" vertical="center" wrapText="1"/>
    </xf>
    <xf numFmtId="169" fontId="117" fillId="0" borderId="0" xfId="337" applyNumberFormat="1" applyFont="1"/>
    <xf numFmtId="169" fontId="115" fillId="0" borderId="0" xfId="337" applyNumberFormat="1" applyFont="1"/>
    <xf numFmtId="0" fontId="115" fillId="0" borderId="0" xfId="0" applyFont="1"/>
    <xf numFmtId="0" fontId="115" fillId="0" borderId="2" xfId="0" applyFont="1" applyFill="1" applyBorder="1" applyAlignment="1">
      <alignment horizontal="left" vertical="center" wrapText="1"/>
    </xf>
    <xf numFmtId="0" fontId="118" fillId="0" borderId="0" xfId="0" applyFont="1" applyFill="1" applyBorder="1" applyAlignment="1">
      <alignment horizontal="center" vertical="center"/>
    </xf>
    <xf numFmtId="0" fontId="119" fillId="0" borderId="2" xfId="0" applyFont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left" vertical="center"/>
    </xf>
    <xf numFmtId="169" fontId="119" fillId="0" borderId="2" xfId="337" applyNumberFormat="1" applyFont="1" applyBorder="1" applyAlignment="1">
      <alignment horizontal="center" vertical="center" wrapText="1"/>
    </xf>
    <xf numFmtId="169" fontId="120" fillId="0" borderId="0" xfId="337" applyNumberFormat="1" applyFont="1"/>
    <xf numFmtId="169" fontId="119" fillId="0" borderId="0" xfId="337" applyNumberFormat="1" applyFont="1"/>
    <xf numFmtId="0" fontId="119" fillId="0" borderId="0" xfId="0" applyFont="1"/>
    <xf numFmtId="0" fontId="77" fillId="26" borderId="14" xfId="0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49" fontId="77" fillId="26" borderId="12" xfId="337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169" fontId="30" fillId="0" borderId="24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18" fillId="0" borderId="0" xfId="0" applyNumberFormat="1" applyFont="1" applyFill="1" applyBorder="1" applyAlignment="1">
      <alignment horizontal="center" vertical="center"/>
    </xf>
    <xf numFmtId="169" fontId="115" fillId="29" borderId="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30" fillId="0" borderId="23" xfId="0" applyFont="1" applyFill="1" applyBorder="1" applyAlignment="1">
      <alignment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left" vertical="center"/>
    </xf>
    <xf numFmtId="0" fontId="30" fillId="0" borderId="23" xfId="0" applyFont="1" applyFill="1" applyBorder="1" applyAlignment="1">
      <alignment horizontal="center" vertical="center"/>
    </xf>
    <xf numFmtId="169" fontId="30" fillId="0" borderId="23" xfId="337" applyNumberFormat="1" applyFont="1" applyFill="1" applyBorder="1" applyAlignment="1">
      <alignment horizontal="left" vertical="center"/>
    </xf>
    <xf numFmtId="168" fontId="30" fillId="0" borderId="23" xfId="337" applyNumberFormat="1" applyFont="1" applyFill="1" applyBorder="1" applyAlignment="1">
      <alignment horizontal="left" vertical="center"/>
    </xf>
    <xf numFmtId="169" fontId="30" fillId="0" borderId="23" xfId="341" applyNumberFormat="1" applyFont="1" applyFill="1" applyBorder="1" applyAlignment="1">
      <alignment horizontal="center" vertical="center" wrapText="1"/>
    </xf>
    <xf numFmtId="43" fontId="30" fillId="0" borderId="23" xfId="337" applyNumberFormat="1" applyFont="1" applyFill="1" applyBorder="1" applyAlignment="1">
      <alignment horizontal="left" vertical="center"/>
    </xf>
    <xf numFmtId="169" fontId="30" fillId="0" borderId="23" xfId="337" applyNumberFormat="1" applyFont="1" applyFill="1" applyBorder="1" applyAlignment="1">
      <alignment horizontal="center" vertical="center" wrapText="1"/>
    </xf>
    <xf numFmtId="169" fontId="30" fillId="0" borderId="23" xfId="337" quotePrefix="1" applyNumberFormat="1" applyFont="1" applyFill="1" applyBorder="1" applyAlignment="1">
      <alignment horizontal="center" vertical="center" wrapText="1"/>
    </xf>
    <xf numFmtId="169" fontId="30" fillId="26" borderId="23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43" fontId="30" fillId="0" borderId="0" xfId="337" applyNumberFormat="1" applyFont="1" applyAlignment="1">
      <alignment vertical="center" wrapText="1"/>
    </xf>
    <xf numFmtId="169" fontId="100" fillId="0" borderId="0" xfId="0" applyNumberFormat="1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43" fontId="99" fillId="0" borderId="0" xfId="337" applyNumberFormat="1" applyFont="1" applyFill="1" applyAlignment="1">
      <alignment horizontal="center" vertical="center" wrapText="1"/>
    </xf>
    <xf numFmtId="0" fontId="115" fillId="0" borderId="2" xfId="0" applyFont="1" applyFill="1" applyBorder="1" applyAlignment="1">
      <alignment horizontal="left" vertical="center"/>
    </xf>
    <xf numFmtId="0" fontId="30" fillId="0" borderId="0" xfId="0" applyFont="1" applyAlignment="1">
      <alignment horizontal="center"/>
    </xf>
    <xf numFmtId="169" fontId="77" fillId="26" borderId="12" xfId="337" applyNumberFormat="1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0" fontId="77" fillId="26" borderId="12" xfId="0" applyFont="1" applyFill="1" applyBorder="1" applyAlignment="1">
      <alignment horizontal="center" vertical="center" wrapText="1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14" xfId="421" applyNumberFormat="1" applyFont="1" applyFill="1" applyBorder="1" applyAlignment="1">
      <alignment horizontal="left" vertical="center"/>
    </xf>
    <xf numFmtId="0" fontId="98" fillId="0" borderId="28" xfId="421" applyNumberFormat="1" applyFont="1" applyFill="1" applyBorder="1" applyAlignment="1">
      <alignment horizontal="left" vertical="center"/>
    </xf>
    <xf numFmtId="0" fontId="98" fillId="0" borderId="14" xfId="421" applyNumberFormat="1" applyFont="1" applyFill="1" applyBorder="1" applyAlignment="1">
      <alignment horizontal="center" vertical="center" wrapText="1"/>
    </xf>
    <xf numFmtId="0" fontId="98" fillId="0" borderId="28" xfId="421" applyNumberFormat="1" applyFont="1" applyFill="1" applyBorder="1" applyAlignment="1">
      <alignment horizontal="center" vertical="center" wrapText="1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/>
    </xf>
    <xf numFmtId="0" fontId="100" fillId="26" borderId="23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77" fillId="26" borderId="28" xfId="0" applyFont="1" applyFill="1" applyBorder="1" applyAlignment="1">
      <alignment horizontal="center" vertical="center" wrapText="1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  <xf numFmtId="0" fontId="100" fillId="0" borderId="12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237" fontId="99" fillId="28" borderId="28" xfId="0" applyNumberFormat="1" applyFont="1" applyFill="1" applyBorder="1" applyAlignment="1">
      <alignment horizontal="center" vertical="center"/>
    </xf>
  </cellXfs>
  <cellStyles count="607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i·0" xfId="388"/>
    <cellStyle name="Îáû÷íûé_ÏÄÍÃ" xfId="389"/>
    <cellStyle name="Input" xfId="390" builtinId="20" customBuiltin="1"/>
    <cellStyle name="Input [yellow]" xfId="391"/>
    <cellStyle name="k" xfId="392"/>
    <cellStyle name="khanh" xfId="393"/>
    <cellStyle name="khoa2" xfId="394"/>
    <cellStyle name="kien1" xfId="395"/>
    <cellStyle name="Link Currency (0)" xfId="396"/>
    <cellStyle name="Link Currency (2)" xfId="397"/>
    <cellStyle name="Link Units (0)" xfId="398"/>
    <cellStyle name="Link Units (1)" xfId="399"/>
    <cellStyle name="Link Units (2)" xfId="400"/>
    <cellStyle name="Linked Cell" xfId="401" builtinId="24" customBuiltin="1"/>
    <cellStyle name="luc" xfId="402"/>
    <cellStyle name="luc2" xfId="403"/>
    <cellStyle name="Millares [0]_Well Timing" xfId="404"/>
    <cellStyle name="Millares_Well Timing" xfId="405"/>
    <cellStyle name="Môc" xfId="406"/>
    <cellStyle name="Model" xfId="407"/>
    <cellStyle name="Moneda [0]_Well Timing" xfId="408"/>
    <cellStyle name="Moneda_Well Timing" xfId="409"/>
    <cellStyle name="Monétaire [0]_TARIFFS DB" xfId="410"/>
    <cellStyle name="Monétaire_TARIFFS DB" xfId="411"/>
    <cellStyle name="n" xfId="412"/>
    <cellStyle name="n1" xfId="413"/>
    <cellStyle name="Neutral" xfId="414" builtinId="28" customBuiltin="1"/>
    <cellStyle name="New Times Roman" xfId="415"/>
    <cellStyle name="no dec" xfId="416"/>
    <cellStyle name="Non défini" xfId="417"/>
    <cellStyle name="Normal" xfId="0" builtinId="0"/>
    <cellStyle name="Normal - Style1" xfId="418"/>
    <cellStyle name="Normal 2" xfId="419"/>
    <cellStyle name="Normal_Book1" xfId="420"/>
    <cellStyle name="Normal_Sheet1" xfId="421"/>
    <cellStyle name="Normal1" xfId="422"/>
    <cellStyle name="Note" xfId="423" builtinId="10" customBuiltin="1"/>
    <cellStyle name="omma [0]_Mktg Prog" xfId="424"/>
    <cellStyle name="ormal_Sheet1_1" xfId="425"/>
    <cellStyle name="Output" xfId="426" builtinId="21" customBuiltin="1"/>
    <cellStyle name="Percent [0]" xfId="427"/>
    <cellStyle name="Percent [00]" xfId="428"/>
    <cellStyle name="Percent [2]" xfId="429"/>
    <cellStyle name="PrePop Currency (0)" xfId="430"/>
    <cellStyle name="PrePop Currency (2)" xfId="431"/>
    <cellStyle name="PrePop Units (0)" xfId="432"/>
    <cellStyle name="PrePop Units (1)" xfId="433"/>
    <cellStyle name="PrePop Units (2)" xfId="434"/>
    <cellStyle name="S—_x0008_" xfId="435"/>
    <cellStyle name="s1" xfId="436"/>
    <cellStyle name="Style 1" xfId="437"/>
    <cellStyle name="Style 10" xfId="438"/>
    <cellStyle name="Style 11" xfId="439"/>
    <cellStyle name="Style 12" xfId="440"/>
    <cellStyle name="Style 13" xfId="441"/>
    <cellStyle name="Style 14" xfId="442"/>
    <cellStyle name="Style 15" xfId="443"/>
    <cellStyle name="Style 16" xfId="444"/>
    <cellStyle name="Style 17" xfId="445"/>
    <cellStyle name="Style 18" xfId="446"/>
    <cellStyle name="Style 19" xfId="447"/>
    <cellStyle name="Style 2" xfId="448"/>
    <cellStyle name="Style 20" xfId="449"/>
    <cellStyle name="Style 21" xfId="450"/>
    <cellStyle name="Style 22" xfId="451"/>
    <cellStyle name="Style 23" xfId="452"/>
    <cellStyle name="Style 24" xfId="453"/>
    <cellStyle name="Style 25" xfId="454"/>
    <cellStyle name="Style 26" xfId="455"/>
    <cellStyle name="Style 27" xfId="456"/>
    <cellStyle name="Style 28" xfId="457"/>
    <cellStyle name="Style 29" xfId="458"/>
    <cellStyle name="Style 3" xfId="459"/>
    <cellStyle name="Style 30" xfId="460"/>
    <cellStyle name="Style 31" xfId="461"/>
    <cellStyle name="Style 32" xfId="462"/>
    <cellStyle name="Style 33" xfId="463"/>
    <cellStyle name="Style 34" xfId="464"/>
    <cellStyle name="Style 35" xfId="465"/>
    <cellStyle name="Style 36" xfId="466"/>
    <cellStyle name="Style 37" xfId="467"/>
    <cellStyle name="Style 38" xfId="468"/>
    <cellStyle name="Style 39" xfId="469"/>
    <cellStyle name="Style 4" xfId="470"/>
    <cellStyle name="Style 40" xfId="471"/>
    <cellStyle name="Style 41" xfId="472"/>
    <cellStyle name="Style 42" xfId="473"/>
    <cellStyle name="Style 43" xfId="474"/>
    <cellStyle name="Style 5" xfId="475"/>
    <cellStyle name="Style 6" xfId="476"/>
    <cellStyle name="Style 7" xfId="477"/>
    <cellStyle name="Style 8" xfId="478"/>
    <cellStyle name="Style 9" xfId="479"/>
    <cellStyle name="subhead" xfId="480"/>
    <cellStyle name="T" xfId="481"/>
    <cellStyle name="T_01 DUNGTIEN BIEU SX KINH DOANH" xfId="482"/>
    <cellStyle name="T_01 modul tvql 06 08 09" xfId="483"/>
    <cellStyle name="T_01 modul tvql 06 08 09_J&amp;J BCC+BL 082011 v2" xfId="484"/>
    <cellStyle name="T_01 modul tvql 06 08 09_thaotuan luong 102011 v2" xfId="485"/>
    <cellStyle name="T_Book1" xfId="486"/>
    <cellStyle name="T_Book1_01 DUNGTIEN BIEU SX KINH DOANH" xfId="487"/>
    <cellStyle name="T_Book1_01 modul tvql 06 08 09" xfId="488"/>
    <cellStyle name="T_Book1_01 modul tvql 06 08 09_DA - BL 062011 (new)" xfId="489"/>
    <cellStyle name="T_Book1_01 modul tvql 06 08 09_thaotuan luong 102011" xfId="490"/>
    <cellStyle name="T_Book1_01 modul tvql 06 08 09_thaotuan luong 102011 v2" xfId="491"/>
    <cellStyle name="T_Book1_DA - BL 062011 (new)" xfId="492"/>
    <cellStyle name="T_Book1_DAINAM" xfId="493"/>
    <cellStyle name="T_Book1_DAINAM_DA - BL 062011 (new)" xfId="494"/>
    <cellStyle name="T_Book1_DAINAM_thaotuan luong 102011" xfId="495"/>
    <cellStyle name="T_Book1_DAINAM_thaotuan luong 102011 v2" xfId="496"/>
    <cellStyle name="T_Book1_DSKH" xfId="497"/>
    <cellStyle name="T_Book1_DSKH_J&amp;J BCC+BL 082011 v2" xfId="498"/>
    <cellStyle name="T_Book1_DSKH_thaotuan luong 102011 v2" xfId="499"/>
    <cellStyle name="T_Book1_DUNG TIEN" xfId="500"/>
    <cellStyle name="T_Book1_DUNG TIEN MAUKETOAN" xfId="501"/>
    <cellStyle name="T_Book1_DUNG TIEN MAUKETOAN_J&amp;J BCC+BL 082011 v2" xfId="502"/>
    <cellStyle name="T_Book1_DUNG TIEN MAUKETOAN_thaotuan luong 102011 v2" xfId="503"/>
    <cellStyle name="T_Book1_DUNG TIEN_DA - BL 062011 (new)" xfId="504"/>
    <cellStyle name="T_Book1_DUNG TIEN_thaotuan luong 102011" xfId="505"/>
    <cellStyle name="T_Book1_DUNG TIEN_thaotuan luong 102011 v2" xfId="506"/>
    <cellStyle name="T_Book1_hiep thanh bao gia thang 2008" xfId="507"/>
    <cellStyle name="T_Book1_hiep thanh bao gia thang 2008_DA - BL 062011 (new)" xfId="508"/>
    <cellStyle name="T_Book1_hiep thanh bao gia thang 2008_thaotuan luong 102011" xfId="509"/>
    <cellStyle name="T_Book1_hiep thanh bao gia thang 2008_thaotuan luong 102011 v2" xfId="510"/>
    <cellStyle name="T_Book1_NS DANH MUC  CONGVIEC" xfId="511"/>
    <cellStyle name="T_Book1_NS DANH MUC  CONGVIEC_DA - BL 062011 (new)" xfId="512"/>
    <cellStyle name="T_Book1_NS DANH MUC  CONGVIEC_thaotuan luong 102011" xfId="513"/>
    <cellStyle name="T_Book1_NS DANH MUC  CONGVIEC_thaotuan luong 102011 v2" xfId="514"/>
    <cellStyle name="T_Book1_thaotuan luong 102011" xfId="515"/>
    <cellStyle name="T_Book1_thaotuan luong 102011 v2" xfId="516"/>
    <cellStyle name="T_Book1_VIVA SO QUY 2009" xfId="517"/>
    <cellStyle name="T_Book1_VIVA SO QUY 2009_J&amp;J BCC+BL 082011 v2" xfId="518"/>
    <cellStyle name="T_Book1_VIVA SO QUY 2009_thaotuan luong 102011 v2" xfId="519"/>
    <cellStyle name="T_Copy of VT - BHXH-Q.Phu Nhuan" xfId="520"/>
    <cellStyle name="T_Copy of VT - BHXH-Q.Phu Nhuan_DA - BL 062011 (new)" xfId="521"/>
    <cellStyle name="T_Copy of VT - BHXH-Q.Phu Nhuan_thaotuan luong 102011" xfId="522"/>
    <cellStyle name="T_Copy of VT - BHXH-Q.Phu Nhuan_thaotuan luong 102011 v2" xfId="523"/>
    <cellStyle name="T_DAINAM" xfId="524"/>
    <cellStyle name="T_DAINAM_J&amp;J BCC+BL 082011 v2" xfId="525"/>
    <cellStyle name="T_DAINAM_thaotuan luong 102011 v2" xfId="526"/>
    <cellStyle name="T_DSKH" xfId="527"/>
    <cellStyle name="T_DSKH_DA - BL 062011 (new)" xfId="528"/>
    <cellStyle name="T_DSKH_thaotuan luong 102011" xfId="529"/>
    <cellStyle name="T_DSKH_thaotuan luong 102011 v2" xfId="530"/>
    <cellStyle name="T_DUNG TIEN" xfId="531"/>
    <cellStyle name="T_DUNG TIEN MAUKETOAN" xfId="532"/>
    <cellStyle name="T_DUNG TIEN MAUKETOAN_DA - BL 062011 (new)" xfId="533"/>
    <cellStyle name="T_DUNG TIEN MAUKETOAN_thaotuan luong 102011" xfId="534"/>
    <cellStyle name="T_DUNG TIEN MAUKETOAN_thaotuan luong 102011 v2" xfId="535"/>
    <cellStyle name="T_DUNG TIEN_J&amp;J BCC+BL 082011 v2" xfId="536"/>
    <cellStyle name="T_DUNG TIEN_thaotuan luong 102011 v2" xfId="537"/>
    <cellStyle name="T_hiep thanh bao gia thang 2008" xfId="538"/>
    <cellStyle name="T_hiep thanh bao gia thang 2008_J&amp;J BCC+BL 082011 v2" xfId="539"/>
    <cellStyle name="T_hiep thanh bao gia thang 2008_thaotuan luong 102011 v2" xfId="540"/>
    <cellStyle name="T_HNC- BHXH quy 4-07" xfId="541"/>
    <cellStyle name="T_HNC- BHXH quy 4-07_DA - BL 062011 (new)" xfId="542"/>
    <cellStyle name="T_HNC- BHXH quy 4-07_thaotuan luong 102011" xfId="543"/>
    <cellStyle name="T_HNC- BHXH quy 4-07_thaotuan luong 102011 v2" xfId="544"/>
    <cellStyle name="T_J&amp;J BCC+BL 082011 v2" xfId="545"/>
    <cellStyle name="T_NS DANH MUC  CONGVIEC" xfId="546"/>
    <cellStyle name="T_NS DANH MUC  CONGVIEC_J&amp;J BCC+BL 082011 v2" xfId="547"/>
    <cellStyle name="T_NS DANH MUC  CONGVIEC_thaotuan luong 102011 v2" xfId="548"/>
    <cellStyle name="T_thaotuan luong 102011 v2" xfId="549"/>
    <cellStyle name="T_VIVA SO QUY 2009" xfId="550"/>
    <cellStyle name="T_VIVA SO QUY 2009_DA - BL 062011 (new)" xfId="551"/>
    <cellStyle name="T_VIVA SO QUY 2009_thaotuan luong 102011" xfId="552"/>
    <cellStyle name="T_VIVA SO QUY 2009_thaotuan luong 102011 v2" xfId="553"/>
    <cellStyle name="tde" xfId="554"/>
    <cellStyle name="Text Indent A" xfId="555"/>
    <cellStyle name="Text Indent B" xfId="556"/>
    <cellStyle name="Text Indent C" xfId="557"/>
    <cellStyle name="th" xfId="558"/>
    <cellStyle name="þ_x001d_ð¤_x000c_¯þ_x0014__x000d_¨þU_x0001_À_x0004_ _x0015__x000f__x0001__x0001_" xfId="559"/>
    <cellStyle name="Tiªu ®Ì" xfId="560"/>
    <cellStyle name="Times New Roman" xfId="561"/>
    <cellStyle name="TiÓu môc" xfId="562"/>
    <cellStyle name="Title" xfId="563" builtinId="15" customBuiltin="1"/>
    <cellStyle name="Total" xfId="564" builtinId="25" customBuiltin="1"/>
    <cellStyle name="Tusental (0)_pldt" xfId="565"/>
    <cellStyle name="Tusental_pldt" xfId="566"/>
    <cellStyle name="Valuta (0)_pldt" xfId="567"/>
    <cellStyle name="Valuta_pldt" xfId="568"/>
    <cellStyle name="viet" xfId="569"/>
    <cellStyle name="viet2" xfId="570"/>
    <cellStyle name="vntxt2" xfId="571"/>
    <cellStyle name="Währung [0]_UXO VII" xfId="572"/>
    <cellStyle name="Währung_UXO VII" xfId="573"/>
    <cellStyle name="Warning Text" xfId="574" builtinId="11" customBuiltin="1"/>
    <cellStyle name="xuan" xfId="575"/>
    <cellStyle name="Обычный_Elec-12 Fin" xfId="576"/>
    <cellStyle name="เครื่องหมายสกุลเงิน [0]_FTC_OFFER" xfId="577"/>
    <cellStyle name="เครื่องหมายสกุลเงิน_FTC_OFFER" xfId="578"/>
    <cellStyle name="ปกติ_FTC_OFFER" xfId="579"/>
    <cellStyle name=" [0.00]_ Att. 1- Cover" xfId="604"/>
    <cellStyle name="_ Att. 1- Cover" xfId="605"/>
    <cellStyle name="?_ Att. 1- Cover" xfId="606"/>
    <cellStyle name="똿뗦먛귟 [0.00]_PRODUCT DETAIL Q1" xfId="580"/>
    <cellStyle name="똿뗦먛귟_PRODUCT DETAIL Q1" xfId="581"/>
    <cellStyle name="믅됞 [0.00]_PRODUCT DETAIL Q1" xfId="582"/>
    <cellStyle name="믅됞_PRODUCT DETAIL Q1" xfId="583"/>
    <cellStyle name="백분율_95" xfId="584"/>
    <cellStyle name="뷭?_BOOKSHIP" xfId="585"/>
    <cellStyle name="쉼표 [0]_PCS-3~1" xfId="586"/>
    <cellStyle name="쉼표_EQ_ROOM cost" xfId="587"/>
    <cellStyle name="콤마 [0]_ 비목별 월별기술 " xfId="591"/>
    <cellStyle name="콤마_ 비목별 월별기술 " xfId="592"/>
    <cellStyle name="통화 [0]_1202" xfId="593"/>
    <cellStyle name="통화_1202" xfId="594"/>
    <cellStyle name="표준_(정보부문)월별인원계획" xfId="595"/>
    <cellStyle name="一般_00Q3902REV.1" xfId="588"/>
    <cellStyle name="千分位[0]_00Q3902REV.1" xfId="589"/>
    <cellStyle name="千分位_00Q3902REV.1" xfId="590"/>
    <cellStyle name="桁区切り [0.00]_List-dwg瑩畳䵜楡" xfId="596"/>
    <cellStyle name="桁区切り_List-dwgist-" xfId="597"/>
    <cellStyle name="標準_List-dwgis" xfId="598"/>
    <cellStyle name="貨幣 [0]_00Q3902REV.1" xfId="599"/>
    <cellStyle name="貨幣[0]_BRE" xfId="600"/>
    <cellStyle name="貨幣_00Q3902REV.1" xfId="601"/>
    <cellStyle name="通貨 [0.00]_List-dwgwg" xfId="602"/>
    <cellStyle name="通貨_List-dwgis" xfId="603"/>
  </cellStyles>
  <dxfs count="99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indexed="33"/>
  </sheetPr>
  <dimension ref="A1:Z107"/>
  <sheetViews>
    <sheetView tabSelected="1" topLeftCell="A8" workbookViewId="0">
      <pane ySplit="3" topLeftCell="A11" activePane="bottomLeft" state="frozen"/>
      <selection activeCell="A8" sqref="A8"/>
      <selection pane="bottomLeft" activeCell="C12" sqref="C12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11.42578125" style="2" customWidth="1"/>
    <col min="5" max="5" width="10.85546875" style="48" customWidth="1"/>
    <col min="6" max="6" width="10.85546875" style="31" customWidth="1"/>
    <col min="7" max="8" width="9.7109375" style="31" hidden="1" customWidth="1"/>
    <col min="9" max="9" width="10.5703125" style="2" hidden="1" customWidth="1"/>
    <col min="10" max="22" width="10.5703125" style="2" customWidth="1"/>
    <col min="23" max="23" width="10.85546875" style="48" customWidth="1"/>
    <col min="24" max="24" width="13.28515625" style="48" customWidth="1"/>
    <col min="25" max="26" width="11.85546875" style="48" customWidth="1"/>
    <col min="27" max="16384" width="9.140625" style="2"/>
  </cols>
  <sheetData>
    <row r="1" spans="1:26" ht="15">
      <c r="A1" s="1" t="s">
        <v>153</v>
      </c>
    </row>
    <row r="2" spans="1:26" ht="15">
      <c r="A2" s="1" t="s">
        <v>154</v>
      </c>
    </row>
    <row r="3" spans="1:26" ht="15">
      <c r="A3" s="1"/>
    </row>
    <row r="4" spans="1:26">
      <c r="A4" s="109"/>
      <c r="B4" s="109"/>
    </row>
    <row r="5" spans="1:26" ht="23.25" customHeight="1">
      <c r="A5" s="231" t="s">
        <v>35</v>
      </c>
      <c r="B5" s="231"/>
      <c r="C5" s="231"/>
      <c r="D5" s="231"/>
      <c r="E5" s="231"/>
      <c r="F5" s="231"/>
      <c r="G5" s="231"/>
      <c r="H5" s="231"/>
      <c r="I5" s="231"/>
      <c r="J5" s="231"/>
      <c r="K5" s="231"/>
      <c r="L5" s="231"/>
      <c r="M5" s="231"/>
      <c r="N5" s="231"/>
      <c r="O5" s="231"/>
      <c r="P5" s="231"/>
      <c r="Q5" s="231"/>
      <c r="R5" s="231"/>
      <c r="S5" s="231"/>
      <c r="T5" s="231"/>
      <c r="U5" s="231"/>
      <c r="V5" s="231"/>
      <c r="W5" s="231"/>
      <c r="X5" s="231"/>
    </row>
    <row r="6" spans="1:26" ht="23.25" customHeight="1">
      <c r="A6" s="232" t="str">
        <f>"Tháng "&amp;'CC -5'!C4&amp;" năm 2011"</f>
        <v>Tháng  năm 2011</v>
      </c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</row>
    <row r="7" spans="1:26" s="127" customFormat="1" ht="19.5" customHeight="1">
      <c r="A7" s="125"/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6"/>
      <c r="Z7" s="126"/>
    </row>
    <row r="8" spans="1:26" s="1" customFormat="1" ht="20.25" customHeight="1">
      <c r="A8" s="233" t="s">
        <v>19</v>
      </c>
      <c r="B8" s="233" t="s">
        <v>3</v>
      </c>
      <c r="C8" s="233" t="s">
        <v>1</v>
      </c>
      <c r="D8" s="233" t="s">
        <v>2</v>
      </c>
      <c r="E8" s="228" t="s">
        <v>56</v>
      </c>
      <c r="F8" s="228"/>
      <c r="G8" s="228" t="s">
        <v>36</v>
      </c>
      <c r="H8" s="228"/>
      <c r="I8" s="228" t="s">
        <v>24</v>
      </c>
      <c r="J8" s="228" t="s">
        <v>33</v>
      </c>
      <c r="K8" s="228"/>
      <c r="L8" s="228"/>
      <c r="M8" s="228"/>
      <c r="N8" s="228"/>
      <c r="O8" s="228"/>
      <c r="P8" s="228"/>
      <c r="Q8" s="228"/>
      <c r="R8" s="228"/>
      <c r="S8" s="228"/>
      <c r="T8" s="228"/>
      <c r="U8" s="228"/>
      <c r="V8" s="229" t="s">
        <v>39</v>
      </c>
      <c r="W8" s="229" t="s">
        <v>23</v>
      </c>
      <c r="X8" s="229" t="s">
        <v>11</v>
      </c>
      <c r="Y8" s="107"/>
      <c r="Z8" s="107"/>
    </row>
    <row r="9" spans="1:26" s="1" customFormat="1" ht="20.25" customHeight="1">
      <c r="A9" s="233"/>
      <c r="B9" s="233"/>
      <c r="C9" s="233"/>
      <c r="D9" s="233"/>
      <c r="E9" s="173" t="s">
        <v>179</v>
      </c>
      <c r="F9" s="173"/>
      <c r="G9" s="172" t="s">
        <v>57</v>
      </c>
      <c r="H9" s="172" t="s">
        <v>38</v>
      </c>
      <c r="I9" s="228"/>
      <c r="J9" s="172" t="s">
        <v>105</v>
      </c>
      <c r="K9" s="172" t="s">
        <v>106</v>
      </c>
      <c r="L9" s="172" t="s">
        <v>107</v>
      </c>
      <c r="M9" s="172" t="s">
        <v>108</v>
      </c>
      <c r="N9" s="172" t="s">
        <v>109</v>
      </c>
      <c r="O9" s="172" t="s">
        <v>110</v>
      </c>
      <c r="P9" s="172" t="s">
        <v>111</v>
      </c>
      <c r="Q9" s="172" t="s">
        <v>112</v>
      </c>
      <c r="R9" s="172" t="s">
        <v>113</v>
      </c>
      <c r="S9" s="172" t="s">
        <v>114</v>
      </c>
      <c r="T9" s="172" t="s">
        <v>115</v>
      </c>
      <c r="U9" s="172" t="s">
        <v>116</v>
      </c>
      <c r="V9" s="230"/>
      <c r="W9" s="230"/>
      <c r="X9" s="230"/>
      <c r="Y9" s="107"/>
      <c r="Z9" s="107"/>
    </row>
    <row r="10" spans="1:26" ht="14.25" customHeight="1">
      <c r="A10" s="129">
        <v>1</v>
      </c>
      <c r="B10" s="129">
        <v>1</v>
      </c>
      <c r="C10" s="129">
        <v>2</v>
      </c>
      <c r="D10" s="129">
        <v>3</v>
      </c>
      <c r="E10" s="129">
        <v>4</v>
      </c>
      <c r="F10" s="129">
        <v>5</v>
      </c>
      <c r="G10" s="129">
        <v>6</v>
      </c>
      <c r="H10" s="129">
        <v>7</v>
      </c>
      <c r="I10" s="129">
        <v>8</v>
      </c>
      <c r="J10" s="129">
        <v>9</v>
      </c>
      <c r="K10" s="129">
        <v>10</v>
      </c>
      <c r="L10" s="129">
        <v>11</v>
      </c>
      <c r="M10" s="129">
        <v>12</v>
      </c>
      <c r="N10" s="129">
        <v>13</v>
      </c>
      <c r="O10" s="129">
        <v>14</v>
      </c>
      <c r="P10" s="129">
        <v>15</v>
      </c>
      <c r="Q10" s="129">
        <v>16</v>
      </c>
      <c r="R10" s="129">
        <v>17</v>
      </c>
      <c r="S10" s="129">
        <v>18</v>
      </c>
      <c r="T10" s="129">
        <v>19</v>
      </c>
      <c r="U10" s="129">
        <v>20</v>
      </c>
      <c r="V10" s="129">
        <v>21</v>
      </c>
      <c r="W10" s="129">
        <v>22</v>
      </c>
      <c r="X10" s="129">
        <v>23</v>
      </c>
    </row>
    <row r="11" spans="1:26" s="161" customFormat="1" ht="21.75" customHeight="1">
      <c r="A11" s="158">
        <f>IF(B11&lt;&gt;"",ROW()-10,"")</f>
        <v>1</v>
      </c>
      <c r="B11" s="158" t="s">
        <v>160</v>
      </c>
      <c r="C11" s="162" t="s">
        <v>176</v>
      </c>
      <c r="D11" s="158" t="s">
        <v>172</v>
      </c>
      <c r="E11" s="191">
        <v>2500000</v>
      </c>
      <c r="F11" s="153"/>
      <c r="G11" s="153">
        <v>390000</v>
      </c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9"/>
      <c r="Z11" s="160"/>
    </row>
    <row r="12" spans="1:26" s="161" customFormat="1" ht="21.75" customHeight="1">
      <c r="A12" s="158">
        <f t="shared" ref="A12:A18" si="0">IF(B12&lt;&gt;"",ROW()-10,"")</f>
        <v>2</v>
      </c>
      <c r="B12" s="158" t="s">
        <v>161</v>
      </c>
      <c r="C12" s="162" t="s">
        <v>180</v>
      </c>
      <c r="D12" s="158" t="s">
        <v>165</v>
      </c>
      <c r="E12" s="191">
        <v>2400000</v>
      </c>
      <c r="F12" s="153"/>
      <c r="G12" s="153">
        <v>390000</v>
      </c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9"/>
      <c r="Z12" s="160"/>
    </row>
    <row r="13" spans="1:26" s="161" customFormat="1" ht="21.75" customHeight="1">
      <c r="A13" s="158">
        <f t="shared" si="0"/>
        <v>3</v>
      </c>
      <c r="B13" s="158" t="s">
        <v>168</v>
      </c>
      <c r="C13" s="226" t="s">
        <v>177</v>
      </c>
      <c r="D13" s="158" t="s">
        <v>173</v>
      </c>
      <c r="E13" s="191">
        <v>2350000</v>
      </c>
      <c r="F13" s="153"/>
      <c r="G13" s="153">
        <v>390000</v>
      </c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9"/>
      <c r="Z13" s="160"/>
    </row>
    <row r="14" spans="1:26" s="170" customFormat="1" ht="21.75" customHeight="1">
      <c r="A14" s="164">
        <f t="shared" si="0"/>
        <v>4</v>
      </c>
      <c r="B14" s="165" t="s">
        <v>162</v>
      </c>
      <c r="C14" s="166" t="s">
        <v>174</v>
      </c>
      <c r="D14" s="164" t="s">
        <v>166</v>
      </c>
      <c r="E14" s="167">
        <v>1800000</v>
      </c>
      <c r="F14" s="167"/>
      <c r="G14" s="167">
        <v>390000</v>
      </c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67"/>
      <c r="Y14" s="168"/>
      <c r="Z14" s="169"/>
    </row>
    <row r="15" spans="1:26" s="170" customFormat="1" ht="21.75" customHeight="1">
      <c r="A15" s="164">
        <f t="shared" si="0"/>
        <v>5</v>
      </c>
      <c r="B15" s="165" t="s">
        <v>163</v>
      </c>
      <c r="C15" s="166" t="s">
        <v>178</v>
      </c>
      <c r="D15" s="164" t="s">
        <v>167</v>
      </c>
      <c r="E15" s="167">
        <v>1800000</v>
      </c>
      <c r="F15" s="167"/>
      <c r="G15" s="167">
        <v>390000</v>
      </c>
      <c r="H15" s="167"/>
      <c r="I15" s="167"/>
      <c r="J15" s="167"/>
      <c r="K15" s="167"/>
      <c r="L15" s="167"/>
      <c r="M15" s="167"/>
      <c r="N15" s="167"/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8"/>
      <c r="Z15" s="169"/>
    </row>
    <row r="16" spans="1:26" s="170" customFormat="1" ht="21.75" customHeight="1">
      <c r="A16" s="164">
        <f t="shared" si="0"/>
        <v>6</v>
      </c>
      <c r="B16" s="165" t="s">
        <v>164</v>
      </c>
      <c r="C16" s="166" t="s">
        <v>175</v>
      </c>
      <c r="D16" s="164" t="s">
        <v>88</v>
      </c>
      <c r="E16" s="167">
        <v>1500000</v>
      </c>
      <c r="F16" s="167"/>
      <c r="G16" s="167">
        <v>390000</v>
      </c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8"/>
      <c r="Z16" s="169"/>
    </row>
    <row r="17" spans="1:25" ht="21.75" customHeight="1">
      <c r="A17" s="158" t="str">
        <f t="shared" si="0"/>
        <v/>
      </c>
      <c r="B17" s="17"/>
      <c r="C17" s="53"/>
      <c r="D17" s="141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07"/>
    </row>
    <row r="18" spans="1:25" ht="21.75" customHeight="1">
      <c r="A18" s="158" t="str">
        <f t="shared" si="0"/>
        <v/>
      </c>
      <c r="B18" s="142"/>
      <c r="C18" s="150"/>
      <c r="D18" s="149"/>
      <c r="E18" s="151"/>
      <c r="F18" s="151"/>
      <c r="G18" s="151"/>
      <c r="H18" s="151"/>
      <c r="I18" s="151"/>
      <c r="J18" s="151"/>
      <c r="K18" s="151"/>
      <c r="L18" s="151"/>
      <c r="M18" s="151"/>
      <c r="N18" s="151"/>
      <c r="O18" s="151"/>
      <c r="P18" s="151"/>
      <c r="Q18" s="151"/>
      <c r="R18" s="151"/>
      <c r="S18" s="151"/>
      <c r="T18" s="151"/>
      <c r="U18" s="151"/>
      <c r="V18" s="151"/>
      <c r="W18" s="151"/>
      <c r="X18" s="151"/>
      <c r="Y18" s="107"/>
    </row>
    <row r="19" spans="1:25" ht="21.75" customHeight="1">
      <c r="A19" s="234" t="s">
        <v>25</v>
      </c>
      <c r="B19" s="235"/>
      <c r="C19" s="235"/>
      <c r="D19" s="155" t="s">
        <v>135</v>
      </c>
      <c r="E19" s="152">
        <f>SUM(E11:E18)</f>
        <v>12350000</v>
      </c>
      <c r="F19" s="152">
        <f>SUM(F11:F18)</f>
        <v>0</v>
      </c>
      <c r="G19" s="152">
        <f>SUM(G11:G18)</f>
        <v>2340000</v>
      </c>
      <c r="H19" s="152">
        <f>SUM(H11:H18)</f>
        <v>0</v>
      </c>
      <c r="I19" s="152"/>
      <c r="J19" s="152">
        <f t="shared" ref="J19:U19" si="1">SUMIF(J$11:J$18,"x",$E$11:$E$18)</f>
        <v>0</v>
      </c>
      <c r="K19" s="152">
        <f t="shared" si="1"/>
        <v>0</v>
      </c>
      <c r="L19" s="152">
        <f t="shared" si="1"/>
        <v>0</v>
      </c>
      <c r="M19" s="152">
        <f t="shared" si="1"/>
        <v>0</v>
      </c>
      <c r="N19" s="152">
        <f t="shared" si="1"/>
        <v>0</v>
      </c>
      <c r="O19" s="152">
        <f t="shared" si="1"/>
        <v>0</v>
      </c>
      <c r="P19" s="152">
        <f t="shared" si="1"/>
        <v>0</v>
      </c>
      <c r="Q19" s="152">
        <f t="shared" si="1"/>
        <v>0</v>
      </c>
      <c r="R19" s="152">
        <f t="shared" si="1"/>
        <v>0</v>
      </c>
      <c r="S19" s="152">
        <f t="shared" si="1"/>
        <v>0</v>
      </c>
      <c r="T19" s="152">
        <f t="shared" si="1"/>
        <v>0</v>
      </c>
      <c r="U19" s="152">
        <f t="shared" si="1"/>
        <v>0</v>
      </c>
      <c r="V19" s="152"/>
      <c r="W19" s="152"/>
      <c r="X19" s="152"/>
      <c r="Y19" s="107"/>
    </row>
    <row r="20" spans="1:25" ht="21.75" customHeight="1">
      <c r="A20" s="236"/>
      <c r="B20" s="237"/>
      <c r="C20" s="237"/>
      <c r="D20" s="155" t="s">
        <v>136</v>
      </c>
      <c r="E20" s="152"/>
      <c r="F20" s="152"/>
      <c r="G20" s="152"/>
      <c r="H20" s="152"/>
      <c r="I20" s="152"/>
      <c r="J20" s="152">
        <f t="array" ref="J20">SUM((J$11:J$18="x")*1)</f>
        <v>0</v>
      </c>
      <c r="K20" s="152">
        <f t="array" ref="K20">SUM((K$11:K$18="x")*1)</f>
        <v>0</v>
      </c>
      <c r="L20" s="152">
        <f t="array" ref="L20">SUM((L$11:L$18="x")*1)</f>
        <v>0</v>
      </c>
      <c r="M20" s="152">
        <f t="array" ref="M20">SUM((M$11:M$18="x")*1)</f>
        <v>0</v>
      </c>
      <c r="N20" s="152">
        <f t="array" ref="N20">SUM((N$11:N$18="x")*1)</f>
        <v>0</v>
      </c>
      <c r="O20" s="152">
        <f t="array" ref="O20">SUM((O$11:O$18="x")*1)</f>
        <v>0</v>
      </c>
      <c r="P20" s="152">
        <f t="array" ref="P20">SUM((P$11:P$18="x")*1)</f>
        <v>0</v>
      </c>
      <c r="Q20" s="152">
        <f t="array" ref="Q20">SUM((Q$11:Q$18="x")*1)</f>
        <v>0</v>
      </c>
      <c r="R20" s="152">
        <f t="array" ref="R20">SUM((R$11:R$18="x")*1)</f>
        <v>0</v>
      </c>
      <c r="S20" s="152">
        <f t="array" ref="S20">SUM((S$11:S$18="x")*1)</f>
        <v>0</v>
      </c>
      <c r="T20" s="152">
        <f t="array" ref="T20">SUM((T$11:T$18="x")*1)</f>
        <v>0</v>
      </c>
      <c r="U20" s="152">
        <f t="array" ref="U20">SUM((U$11:U$18="x")*1)</f>
        <v>0</v>
      </c>
      <c r="V20" s="152"/>
      <c r="W20" s="152"/>
      <c r="X20" s="152"/>
      <c r="Y20" s="107"/>
    </row>
    <row r="21" spans="1:25" ht="21.75" customHeight="1">
      <c r="A21" s="238"/>
      <c r="B21" s="239"/>
      <c r="C21" s="239"/>
      <c r="D21" s="155" t="s">
        <v>137</v>
      </c>
      <c r="E21" s="152"/>
      <c r="F21" s="152"/>
      <c r="G21" s="152"/>
      <c r="H21" s="152"/>
      <c r="I21" s="152"/>
      <c r="J21" s="152"/>
      <c r="K21" s="152"/>
      <c r="L21" s="152"/>
      <c r="M21" s="152"/>
      <c r="N21" s="152"/>
      <c r="O21" s="152"/>
      <c r="P21" s="152"/>
      <c r="Q21" s="152"/>
      <c r="R21" s="152"/>
      <c r="S21" s="152"/>
      <c r="T21" s="152"/>
      <c r="U21" s="152"/>
      <c r="V21" s="152"/>
      <c r="W21" s="152"/>
      <c r="X21" s="152"/>
      <c r="Y21" s="107"/>
    </row>
    <row r="22" spans="1:25" ht="11.25" customHeight="1">
      <c r="A22" s="19"/>
      <c r="B22" s="19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</row>
    <row r="23" spans="1:25" ht="11.25" customHeight="1">
      <c r="A23" s="19"/>
      <c r="B23" s="19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108" t="s">
        <v>55</v>
      </c>
      <c r="X23" s="78"/>
    </row>
    <row r="24" spans="1:25" ht="16.5" customHeight="1">
      <c r="A24" s="19"/>
      <c r="B24" s="19"/>
      <c r="C24" s="20" t="s">
        <v>14</v>
      </c>
      <c r="D24" s="21"/>
      <c r="E24" s="22"/>
      <c r="F24" s="30"/>
      <c r="G24" s="30"/>
      <c r="H24" s="30"/>
      <c r="I24" s="23"/>
      <c r="J24" s="23">
        <v>8278</v>
      </c>
      <c r="K24" s="221">
        <f>E13/27/8</f>
        <v>10879.62962962963</v>
      </c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49" t="s">
        <v>22</v>
      </c>
      <c r="X24" s="49"/>
    </row>
    <row r="25" spans="1:25" ht="11.25" customHeight="1">
      <c r="A25" s="19"/>
      <c r="B25" s="19"/>
      <c r="C25" s="20"/>
      <c r="D25" s="21"/>
      <c r="E25" s="22"/>
      <c r="F25" s="30"/>
      <c r="G25" s="30"/>
      <c r="H25" s="30"/>
      <c r="I25" s="23"/>
      <c r="J25" s="23"/>
      <c r="K25" s="23">
        <f>J24/K24</f>
        <v>0.76087148936170212</v>
      </c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49"/>
      <c r="X25" s="49"/>
    </row>
    <row r="26" spans="1:25" ht="11.25" customHeight="1">
      <c r="A26" s="19"/>
      <c r="B26" s="19"/>
      <c r="C26" s="20"/>
      <c r="D26" s="21"/>
      <c r="E26" s="22"/>
      <c r="F26" s="30"/>
      <c r="G26" s="30"/>
      <c r="H26" s="30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49"/>
      <c r="X26" s="49"/>
    </row>
    <row r="27" spans="1:25" ht="11.25" customHeight="1">
      <c r="A27" s="19"/>
      <c r="B27" s="19"/>
      <c r="C27" s="20"/>
      <c r="D27" s="21"/>
      <c r="E27" s="22"/>
      <c r="F27" s="30"/>
      <c r="G27" s="30"/>
      <c r="H27" s="30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49"/>
      <c r="X27" s="49"/>
    </row>
    <row r="28" spans="1:25" ht="11.25" customHeight="1">
      <c r="A28" s="19"/>
      <c r="B28" s="19"/>
      <c r="C28" s="20"/>
      <c r="D28" s="21"/>
      <c r="E28" s="22"/>
      <c r="F28" s="30"/>
      <c r="G28" s="30"/>
      <c r="H28" s="30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49"/>
      <c r="X28" s="49"/>
    </row>
    <row r="29" spans="1:25" ht="11.25" customHeight="1">
      <c r="A29" s="19"/>
      <c r="B29" s="19"/>
      <c r="C29" s="20"/>
      <c r="D29" s="21"/>
      <c r="E29" s="22"/>
      <c r="F29" s="30"/>
      <c r="G29" s="30"/>
      <c r="H29" s="30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49"/>
      <c r="X29" s="49"/>
    </row>
    <row r="30" spans="1:25">
      <c r="A30" s="24"/>
      <c r="B30" s="24"/>
      <c r="C30" s="29" t="s">
        <v>21</v>
      </c>
      <c r="D30" s="21"/>
      <c r="E30" s="22"/>
      <c r="F30" s="30"/>
      <c r="G30" s="30"/>
      <c r="H30" s="30"/>
      <c r="I30" s="23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79"/>
      <c r="X30" s="50"/>
    </row>
    <row r="31" spans="1:25" ht="9" customHeight="1">
      <c r="C31" s="46"/>
      <c r="D31" s="46"/>
      <c r="E31" s="22"/>
      <c r="F31" s="51"/>
      <c r="G31" s="51"/>
      <c r="H31" s="51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52"/>
      <c r="X31" s="52"/>
    </row>
    <row r="32" spans="1:25">
      <c r="E32" s="22"/>
    </row>
    <row r="33" spans="3:14">
      <c r="E33" s="22"/>
    </row>
    <row r="46" spans="3:14">
      <c r="C46" s="154"/>
      <c r="G46" s="166" t="s">
        <v>117</v>
      </c>
      <c r="J46" s="2" t="s">
        <v>61</v>
      </c>
      <c r="K46" s="2" t="s">
        <v>117</v>
      </c>
      <c r="M46" s="2" t="str">
        <f>VLOOKUP(K46,$G$46:$J$105,4,0)</f>
        <v>ALTP001</v>
      </c>
      <c r="N46" s="227" t="str">
        <f>M46</f>
        <v>ALTP001</v>
      </c>
    </row>
    <row r="47" spans="3:14">
      <c r="C47" s="154"/>
      <c r="G47" s="166" t="s">
        <v>118</v>
      </c>
      <c r="J47" s="2" t="s">
        <v>62</v>
      </c>
      <c r="K47" s="2" t="s">
        <v>118</v>
      </c>
      <c r="M47" s="2" t="str">
        <f t="shared" ref="M47:M76" si="2">VLOOKUP(K47,$G$46:$J$105,4,0)</f>
        <v>ALTP002</v>
      </c>
      <c r="N47" s="227"/>
    </row>
    <row r="48" spans="3:14">
      <c r="C48" s="154"/>
      <c r="G48" s="166" t="s">
        <v>119</v>
      </c>
      <c r="J48" s="2" t="s">
        <v>63</v>
      </c>
      <c r="K48" s="2" t="s">
        <v>119</v>
      </c>
      <c r="M48" s="2" t="str">
        <f t="shared" si="2"/>
        <v>ALTP003</v>
      </c>
      <c r="N48" s="227" t="str">
        <f>M47</f>
        <v>ALTP002</v>
      </c>
    </row>
    <row r="49" spans="3:14">
      <c r="C49" s="154"/>
      <c r="G49" s="166" t="s">
        <v>120</v>
      </c>
      <c r="J49" s="2" t="s">
        <v>64</v>
      </c>
      <c r="K49" s="2" t="s">
        <v>120</v>
      </c>
      <c r="M49" s="2" t="str">
        <f t="shared" si="2"/>
        <v>ALTP004</v>
      </c>
      <c r="N49" s="227"/>
    </row>
    <row r="50" spans="3:14">
      <c r="C50" s="154"/>
      <c r="G50" s="166" t="s">
        <v>121</v>
      </c>
      <c r="J50" s="2" t="s">
        <v>65</v>
      </c>
      <c r="K50" s="2" t="s">
        <v>121</v>
      </c>
      <c r="M50" s="2" t="str">
        <f t="shared" si="2"/>
        <v>ALTP005</v>
      </c>
      <c r="N50" s="227" t="str">
        <f>M48</f>
        <v>ALTP003</v>
      </c>
    </row>
    <row r="51" spans="3:14">
      <c r="C51" s="154"/>
      <c r="G51" s="166" t="s">
        <v>122</v>
      </c>
      <c r="J51" s="2" t="s">
        <v>66</v>
      </c>
      <c r="K51" s="2" t="s">
        <v>122</v>
      </c>
      <c r="M51" s="2" t="str">
        <f t="shared" si="2"/>
        <v>ALTP006</v>
      </c>
      <c r="N51" s="227"/>
    </row>
    <row r="52" spans="3:14">
      <c r="C52" s="154"/>
      <c r="G52" s="166" t="s">
        <v>123</v>
      </c>
      <c r="J52" s="2" t="s">
        <v>67</v>
      </c>
      <c r="K52" s="2" t="s">
        <v>123</v>
      </c>
      <c r="M52" s="2" t="str">
        <f t="shared" si="2"/>
        <v>ALTP007</v>
      </c>
      <c r="N52" s="227" t="str">
        <f>M49</f>
        <v>ALTP004</v>
      </c>
    </row>
    <row r="53" spans="3:14">
      <c r="C53" s="154"/>
      <c r="G53" s="166" t="s">
        <v>124</v>
      </c>
      <c r="J53" s="2" t="s">
        <v>68</v>
      </c>
      <c r="K53" s="2" t="s">
        <v>124</v>
      </c>
      <c r="M53" s="2" t="str">
        <f t="shared" si="2"/>
        <v>ALTP008</v>
      </c>
      <c r="N53" s="227"/>
    </row>
    <row r="54" spans="3:14">
      <c r="C54" s="154"/>
      <c r="G54" s="166" t="s">
        <v>125</v>
      </c>
      <c r="J54" s="2" t="s">
        <v>69</v>
      </c>
      <c r="K54" s="2" t="s">
        <v>125</v>
      </c>
      <c r="M54" s="2" t="str">
        <f t="shared" si="2"/>
        <v>ALTP009</v>
      </c>
      <c r="N54" s="227" t="str">
        <f>M50</f>
        <v>ALTP005</v>
      </c>
    </row>
    <row r="55" spans="3:14">
      <c r="C55" s="154"/>
      <c r="G55" s="166" t="s">
        <v>126</v>
      </c>
      <c r="J55" s="2" t="s">
        <v>70</v>
      </c>
      <c r="K55" s="2" t="s">
        <v>126</v>
      </c>
      <c r="M55" s="2" t="str">
        <f t="shared" si="2"/>
        <v>ALTP010</v>
      </c>
      <c r="N55" s="227"/>
    </row>
    <row r="56" spans="3:14">
      <c r="C56" s="154"/>
      <c r="G56" s="166" t="s">
        <v>127</v>
      </c>
      <c r="J56" s="2" t="s">
        <v>71</v>
      </c>
      <c r="K56" s="2" t="s">
        <v>127</v>
      </c>
      <c r="M56" s="2" t="str">
        <f t="shared" si="2"/>
        <v>ALTP011</v>
      </c>
      <c r="N56" s="227" t="str">
        <f>M51</f>
        <v>ALTP006</v>
      </c>
    </row>
    <row r="57" spans="3:14">
      <c r="C57" s="154"/>
      <c r="G57" s="166" t="s">
        <v>128</v>
      </c>
      <c r="J57" s="2" t="s">
        <v>72</v>
      </c>
      <c r="K57" s="2" t="s">
        <v>129</v>
      </c>
      <c r="M57" s="2" t="str">
        <f t="shared" si="2"/>
        <v>ALTP013</v>
      </c>
      <c r="N57" s="227"/>
    </row>
    <row r="58" spans="3:14">
      <c r="C58" s="154"/>
      <c r="G58" s="166" t="s">
        <v>129</v>
      </c>
      <c r="J58" s="2" t="s">
        <v>73</v>
      </c>
      <c r="K58" s="2" t="s">
        <v>130</v>
      </c>
      <c r="M58" s="2" t="str">
        <f t="shared" si="2"/>
        <v>ALTP014</v>
      </c>
      <c r="N58" s="227" t="str">
        <f>M52</f>
        <v>ALTP007</v>
      </c>
    </row>
    <row r="59" spans="3:14">
      <c r="C59" s="154"/>
      <c r="G59" s="166" t="s">
        <v>130</v>
      </c>
      <c r="J59" s="2" t="s">
        <v>74</v>
      </c>
      <c r="K59" s="2" t="s">
        <v>131</v>
      </c>
      <c r="M59" s="2" t="str">
        <f t="shared" si="2"/>
        <v>ALTP015</v>
      </c>
      <c r="N59" s="227"/>
    </row>
    <row r="60" spans="3:14">
      <c r="C60" s="154"/>
      <c r="G60" s="166" t="s">
        <v>131</v>
      </c>
      <c r="J60" s="2" t="s">
        <v>75</v>
      </c>
      <c r="K60" s="2" t="s">
        <v>132</v>
      </c>
      <c r="M60" s="2" t="str">
        <f t="shared" si="2"/>
        <v>ALTP016</v>
      </c>
      <c r="N60" s="227" t="str">
        <f>M53</f>
        <v>ALTP008</v>
      </c>
    </row>
    <row r="61" spans="3:14">
      <c r="C61" s="154"/>
      <c r="G61" s="166" t="s">
        <v>132</v>
      </c>
      <c r="J61" s="2" t="s">
        <v>76</v>
      </c>
      <c r="K61" s="2" t="s">
        <v>133</v>
      </c>
      <c r="M61" s="2" t="str">
        <f t="shared" si="2"/>
        <v>ALTP017</v>
      </c>
      <c r="N61" s="227"/>
    </row>
    <row r="62" spans="3:14">
      <c r="C62" s="154"/>
      <c r="G62" s="166" t="s">
        <v>133</v>
      </c>
      <c r="J62" s="2" t="s">
        <v>77</v>
      </c>
      <c r="K62" s="2" t="s">
        <v>134</v>
      </c>
      <c r="M62" s="2" t="str">
        <f t="shared" si="2"/>
        <v>ALTP018</v>
      </c>
      <c r="N62" s="227" t="str">
        <f>M54</f>
        <v>ALTP009</v>
      </c>
    </row>
    <row r="63" spans="3:14">
      <c r="C63" s="154"/>
      <c r="G63" s="166" t="s">
        <v>134</v>
      </c>
      <c r="J63" s="2" t="s">
        <v>78</v>
      </c>
      <c r="K63" s="2" t="s">
        <v>138</v>
      </c>
      <c r="M63" s="2" t="str">
        <f t="shared" si="2"/>
        <v>ALTP019</v>
      </c>
      <c r="N63" s="227"/>
    </row>
    <row r="64" spans="3:14">
      <c r="C64" s="154"/>
      <c r="G64" s="166" t="s">
        <v>138</v>
      </c>
      <c r="J64" s="2" t="s">
        <v>79</v>
      </c>
      <c r="K64" s="2" t="s">
        <v>140</v>
      </c>
      <c r="M64" s="2" t="str">
        <f t="shared" si="2"/>
        <v>ALTP020</v>
      </c>
      <c r="N64" s="227" t="str">
        <f>M55</f>
        <v>ALTP010</v>
      </c>
    </row>
    <row r="65" spans="3:14">
      <c r="C65" s="154"/>
      <c r="G65" s="166" t="s">
        <v>140</v>
      </c>
      <c r="J65" s="2" t="s">
        <v>80</v>
      </c>
      <c r="K65" s="2" t="s">
        <v>145</v>
      </c>
      <c r="M65" s="2" t="str">
        <f t="shared" si="2"/>
        <v>ALTP025</v>
      </c>
      <c r="N65" s="227"/>
    </row>
    <row r="66" spans="3:14">
      <c r="C66" s="154"/>
      <c r="G66" s="166" t="s">
        <v>141</v>
      </c>
      <c r="J66" s="2" t="s">
        <v>81</v>
      </c>
      <c r="K66" s="2" t="s">
        <v>152</v>
      </c>
      <c r="M66" s="2" t="str">
        <f t="shared" si="2"/>
        <v>ALTP027</v>
      </c>
      <c r="N66" s="227" t="str">
        <f>M56</f>
        <v>ALTP011</v>
      </c>
    </row>
    <row r="67" spans="3:14">
      <c r="C67" s="154"/>
      <c r="G67" s="166" t="s">
        <v>142</v>
      </c>
      <c r="J67" s="2" t="s">
        <v>82</v>
      </c>
      <c r="K67" s="2" t="s">
        <v>100</v>
      </c>
      <c r="M67" s="2" t="str">
        <f t="shared" si="2"/>
        <v>ALTN001</v>
      </c>
      <c r="N67" s="227"/>
    </row>
    <row r="68" spans="3:14">
      <c r="C68" s="154"/>
      <c r="G68" s="166" t="s">
        <v>152</v>
      </c>
      <c r="J68" s="2" t="s">
        <v>87</v>
      </c>
      <c r="K68" s="2" t="s">
        <v>101</v>
      </c>
      <c r="M68" s="2" t="str">
        <f t="shared" si="2"/>
        <v>ALTN002</v>
      </c>
      <c r="N68" s="227" t="str">
        <f>M57</f>
        <v>ALTP013</v>
      </c>
    </row>
    <row r="69" spans="3:14">
      <c r="C69" s="154"/>
      <c r="G69" s="2" t="s">
        <v>143</v>
      </c>
      <c r="J69" s="2" t="s">
        <v>83</v>
      </c>
      <c r="K69" s="2" t="s">
        <v>102</v>
      </c>
      <c r="M69" s="2" t="str">
        <f t="shared" si="2"/>
        <v>ALTN003</v>
      </c>
      <c r="N69" s="227"/>
    </row>
    <row r="70" spans="3:14">
      <c r="C70" s="154"/>
      <c r="G70" s="2" t="s">
        <v>144</v>
      </c>
      <c r="J70" s="2" t="s">
        <v>84</v>
      </c>
      <c r="K70" s="2" t="s">
        <v>151</v>
      </c>
      <c r="M70" s="2" t="str">
        <f t="shared" si="2"/>
        <v>ALTN004</v>
      </c>
      <c r="N70" s="227" t="str">
        <f>M58</f>
        <v>ALTP014</v>
      </c>
    </row>
    <row r="71" spans="3:14">
      <c r="C71" s="154"/>
      <c r="G71" s="2" t="s">
        <v>145</v>
      </c>
      <c r="J71" s="2" t="s">
        <v>85</v>
      </c>
      <c r="K71" s="2" t="s">
        <v>104</v>
      </c>
      <c r="M71" s="2" t="str">
        <f t="shared" si="2"/>
        <v>ALTN006</v>
      </c>
      <c r="N71" s="227"/>
    </row>
    <row r="72" spans="3:14">
      <c r="C72" s="154"/>
      <c r="G72" s="2" t="s">
        <v>150</v>
      </c>
      <c r="J72" s="2" t="s">
        <v>86</v>
      </c>
      <c r="K72" s="2" t="s">
        <v>139</v>
      </c>
      <c r="M72" s="2" t="str">
        <f t="shared" si="2"/>
        <v>ALTN007</v>
      </c>
      <c r="N72" s="227" t="str">
        <f>M59</f>
        <v>ALTP015</v>
      </c>
    </row>
    <row r="73" spans="3:14">
      <c r="C73" s="154"/>
      <c r="G73" s="2" t="s">
        <v>100</v>
      </c>
      <c r="J73" s="2" t="s">
        <v>89</v>
      </c>
      <c r="K73" s="2" t="s">
        <v>146</v>
      </c>
      <c r="M73" s="2" t="str">
        <f t="shared" si="2"/>
        <v>ALTN008</v>
      </c>
      <c r="N73" s="227"/>
    </row>
    <row r="74" spans="3:14">
      <c r="C74" s="154"/>
      <c r="G74" s="2" t="s">
        <v>101</v>
      </c>
      <c r="J74" s="2" t="s">
        <v>90</v>
      </c>
      <c r="K74" s="2" t="s">
        <v>147</v>
      </c>
      <c r="M74" s="2" t="str">
        <f t="shared" si="2"/>
        <v>ALTN009</v>
      </c>
      <c r="N74" s="227" t="str">
        <f>M60</f>
        <v>ALTP016</v>
      </c>
    </row>
    <row r="75" spans="3:14">
      <c r="C75" s="154"/>
      <c r="G75" s="2" t="s">
        <v>102</v>
      </c>
      <c r="J75" s="2" t="s">
        <v>91</v>
      </c>
      <c r="K75" s="2" t="s">
        <v>148</v>
      </c>
      <c r="M75" s="2" t="str">
        <f t="shared" si="2"/>
        <v>ALTN010</v>
      </c>
      <c r="N75" s="227"/>
    </row>
    <row r="76" spans="3:14">
      <c r="C76" s="154"/>
      <c r="G76" s="2" t="s">
        <v>151</v>
      </c>
      <c r="J76" s="2" t="s">
        <v>92</v>
      </c>
      <c r="K76" s="2" t="s">
        <v>149</v>
      </c>
      <c r="M76" s="2" t="str">
        <f t="shared" si="2"/>
        <v>ALTN011</v>
      </c>
      <c r="N76" s="227" t="str">
        <f>M61</f>
        <v>ALTP017</v>
      </c>
    </row>
    <row r="77" spans="3:14">
      <c r="C77" s="154"/>
      <c r="G77" s="2" t="s">
        <v>103</v>
      </c>
      <c r="J77" s="2" t="s">
        <v>93</v>
      </c>
      <c r="N77" s="227"/>
    </row>
    <row r="78" spans="3:14">
      <c r="C78" s="154"/>
      <c r="G78" s="31" t="s">
        <v>104</v>
      </c>
      <c r="J78" s="2" t="s">
        <v>94</v>
      </c>
      <c r="N78" s="227" t="str">
        <f>M62</f>
        <v>ALTP018</v>
      </c>
    </row>
    <row r="79" spans="3:14">
      <c r="C79" s="154"/>
      <c r="G79" s="31" t="s">
        <v>139</v>
      </c>
      <c r="J79" s="2" t="s">
        <v>95</v>
      </c>
      <c r="N79" s="227"/>
    </row>
    <row r="80" spans="3:14">
      <c r="C80" s="154"/>
      <c r="G80" s="31" t="s">
        <v>146</v>
      </c>
      <c r="J80" s="2" t="s">
        <v>96</v>
      </c>
      <c r="N80" s="227" t="str">
        <f>M63</f>
        <v>ALTP019</v>
      </c>
    </row>
    <row r="81" spans="3:14">
      <c r="C81" s="154"/>
      <c r="G81" s="31" t="s">
        <v>147</v>
      </c>
      <c r="J81" s="2" t="s">
        <v>97</v>
      </c>
      <c r="N81" s="227"/>
    </row>
    <row r="82" spans="3:14">
      <c r="C82" s="154"/>
      <c r="G82" s="31" t="s">
        <v>148</v>
      </c>
      <c r="J82" s="2" t="s">
        <v>98</v>
      </c>
      <c r="N82" s="227" t="str">
        <f>M64</f>
        <v>ALTP020</v>
      </c>
    </row>
    <row r="83" spans="3:14">
      <c r="C83" s="154"/>
      <c r="G83" s="31" t="s">
        <v>149</v>
      </c>
      <c r="J83" s="2" t="s">
        <v>99</v>
      </c>
      <c r="N83" s="227"/>
    </row>
    <row r="84" spans="3:14">
      <c r="C84" s="154"/>
      <c r="N84" s="227" t="str">
        <f>M65</f>
        <v>ALTP025</v>
      </c>
    </row>
    <row r="85" spans="3:14">
      <c r="C85" s="154"/>
      <c r="N85" s="227"/>
    </row>
    <row r="86" spans="3:14">
      <c r="C86" s="154"/>
      <c r="N86" s="227" t="str">
        <f>M66</f>
        <v>ALTP027</v>
      </c>
    </row>
    <row r="87" spans="3:14">
      <c r="C87" s="154"/>
      <c r="N87" s="227"/>
    </row>
    <row r="88" spans="3:14">
      <c r="C88" s="154"/>
      <c r="N88" s="227" t="str">
        <f>M67</f>
        <v>ALTN001</v>
      </c>
    </row>
    <row r="89" spans="3:14">
      <c r="C89" s="154"/>
      <c r="N89" s="227"/>
    </row>
    <row r="90" spans="3:14">
      <c r="C90" s="154"/>
      <c r="N90" s="227" t="str">
        <f>M68</f>
        <v>ALTN002</v>
      </c>
    </row>
    <row r="91" spans="3:14">
      <c r="C91" s="154"/>
      <c r="N91" s="227"/>
    </row>
    <row r="92" spans="3:14">
      <c r="C92" s="154"/>
      <c r="N92" s="227" t="str">
        <f>M69</f>
        <v>ALTN003</v>
      </c>
    </row>
    <row r="93" spans="3:14">
      <c r="C93" s="154"/>
      <c r="N93" s="227"/>
    </row>
    <row r="94" spans="3:14">
      <c r="C94" s="154"/>
      <c r="N94" s="227" t="str">
        <f>M70</f>
        <v>ALTN004</v>
      </c>
    </row>
    <row r="95" spans="3:14">
      <c r="C95" s="154"/>
      <c r="N95" s="227"/>
    </row>
    <row r="96" spans="3:14">
      <c r="C96" s="154"/>
      <c r="N96" s="227" t="str">
        <f>M71</f>
        <v>ALTN006</v>
      </c>
    </row>
    <row r="97" spans="3:14">
      <c r="C97" s="154"/>
      <c r="N97" s="227"/>
    </row>
    <row r="98" spans="3:14">
      <c r="C98" s="154"/>
      <c r="N98" s="227" t="str">
        <f>M72</f>
        <v>ALTN007</v>
      </c>
    </row>
    <row r="99" spans="3:14">
      <c r="C99" s="154"/>
      <c r="N99" s="227"/>
    </row>
    <row r="100" spans="3:14">
      <c r="C100" s="154"/>
      <c r="N100" s="227" t="str">
        <f>M73</f>
        <v>ALTN008</v>
      </c>
    </row>
    <row r="101" spans="3:14">
      <c r="C101" s="154"/>
      <c r="N101" s="227"/>
    </row>
    <row r="102" spans="3:14">
      <c r="C102" s="154"/>
      <c r="N102" s="227" t="str">
        <f>M74</f>
        <v>ALTN009</v>
      </c>
    </row>
    <row r="103" spans="3:14">
      <c r="C103" s="154"/>
      <c r="N103" s="227"/>
    </row>
    <row r="104" spans="3:14">
      <c r="C104" s="154"/>
      <c r="N104" s="227" t="str">
        <f>M75</f>
        <v>ALTN010</v>
      </c>
    </row>
    <row r="105" spans="3:14">
      <c r="C105" s="154"/>
      <c r="N105" s="227"/>
    </row>
    <row r="106" spans="3:14">
      <c r="C106" s="154"/>
      <c r="N106" s="227" t="str">
        <f>M76</f>
        <v>ALTN011</v>
      </c>
    </row>
    <row r="107" spans="3:14">
      <c r="C107" s="154"/>
      <c r="N107" s="227"/>
    </row>
  </sheetData>
  <protectedRanges>
    <protectedRange password="CC78" sqref="E34:E65335 B8:D9 W8:W9 B22:B65335 C31:D65335 F31:JG45 F97:M97 Y8:JG12 F46 H46:J46 L46:JG46 L47:L73 F84:L96 N47:JG97 M47:M76 F98:JG65335 K74:L83 F47:J67 F69:J83 F68 H68:J68 F8:H8 J17:JG21 C17:H21 B10:X10 J11:X12 J13:JG13 A8:A65335 V14:JG16 F11:H16 E11:E13" name="Range1"/>
    <protectedRange password="CC78" sqref="C24:C29 E31:E33 W24:JG29 D24:H30" name="Range1_1_1"/>
    <protectedRange password="CC78" sqref="C30 W30:JG30" name="Range1_3_1"/>
    <protectedRange password="CC78" sqref="A5:JG7" name="Range1_2"/>
    <protectedRange password="CC78" sqref="I8:V9 I11:I21" name="Range1_3"/>
    <protectedRange password="CC78" sqref="B17:B21" name="Range1_1"/>
    <protectedRange password="CC78" sqref="E8:E9 F9" name="Range1_4"/>
    <protectedRange password="CC78" sqref="B14:B16" name="Range1_6"/>
    <protectedRange password="CC78" sqref="D15:D16" name="Range1_7"/>
    <protectedRange password="CC78" sqref="J11:U16" name="Range1_11"/>
    <protectedRange password="CC78" sqref="D14" name="Range1_7_1_1"/>
    <protectedRange password="CC78" sqref="E14:E16" name="Range1_8"/>
  </protectedRanges>
  <autoFilter ref="A10:Z16"/>
  <mergeCells count="45">
    <mergeCell ref="N90:N91"/>
    <mergeCell ref="N92:N93"/>
    <mergeCell ref="N94:N95"/>
    <mergeCell ref="A19:C21"/>
    <mergeCell ref="N66:N67"/>
    <mergeCell ref="N68:N69"/>
    <mergeCell ref="N70:N71"/>
    <mergeCell ref="N72:N73"/>
    <mergeCell ref="N46:N47"/>
    <mergeCell ref="N48:N49"/>
    <mergeCell ref="N50:N51"/>
    <mergeCell ref="N52:N53"/>
    <mergeCell ref="N54:N55"/>
    <mergeCell ref="N56:N57"/>
    <mergeCell ref="N58:N59"/>
    <mergeCell ref="N60:N61"/>
    <mergeCell ref="N62:N63"/>
    <mergeCell ref="N64:N65"/>
    <mergeCell ref="A5:X5"/>
    <mergeCell ref="A6:X6"/>
    <mergeCell ref="B8:B9"/>
    <mergeCell ref="A8:A9"/>
    <mergeCell ref="C8:C9"/>
    <mergeCell ref="X8:X9"/>
    <mergeCell ref="W8:W9"/>
    <mergeCell ref="I8:I9"/>
    <mergeCell ref="D8:D9"/>
    <mergeCell ref="G8:H8"/>
    <mergeCell ref="E8:F8"/>
    <mergeCell ref="N102:N103"/>
    <mergeCell ref="N104:N105"/>
    <mergeCell ref="N106:N107"/>
    <mergeCell ref="J8:U8"/>
    <mergeCell ref="V8:V9"/>
    <mergeCell ref="N74:N75"/>
    <mergeCell ref="N76:N77"/>
    <mergeCell ref="N78:N79"/>
    <mergeCell ref="N80:N81"/>
    <mergeCell ref="N82:N83"/>
    <mergeCell ref="N84:N85"/>
    <mergeCell ref="N98:N99"/>
    <mergeCell ref="N100:N101"/>
    <mergeCell ref="N96:N97"/>
    <mergeCell ref="N86:N87"/>
    <mergeCell ref="N88:N89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rgb="FFC00000"/>
  </sheetPr>
  <dimension ref="A1:CM38"/>
  <sheetViews>
    <sheetView zoomScaleNormal="115" workbookViewId="0">
      <pane xSplit="3" ySplit="6" topLeftCell="D7" activePane="bottomRight" state="frozen"/>
      <selection activeCell="E5" sqref="E5:E7"/>
      <selection pane="topRight" activeCell="E5" sqref="E5:E7"/>
      <selection pane="bottomLeft" activeCell="E5" sqref="E5:E7"/>
      <selection pane="bottomRight" activeCell="A2" sqref="A2:A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05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44" t="s">
        <v>170</v>
      </c>
      <c r="AN1" s="245"/>
      <c r="AO1" s="245"/>
      <c r="AP1" s="245"/>
      <c r="AQ1" s="245"/>
      <c r="AR1" s="245"/>
      <c r="AS1" s="246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40664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2" t="s">
        <v>28</v>
      </c>
      <c r="B5" s="262" t="s">
        <v>3</v>
      </c>
      <c r="C5" s="262" t="s">
        <v>1</v>
      </c>
      <c r="D5" s="264" t="s">
        <v>29</v>
      </c>
      <c r="E5" s="262" t="s">
        <v>30</v>
      </c>
      <c r="F5" s="118">
        <f>+E4</f>
        <v>40664</v>
      </c>
      <c r="G5" s="118">
        <f t="shared" ref="G5:AJ5" si="0">F5+1</f>
        <v>40665</v>
      </c>
      <c r="H5" s="118">
        <f t="shared" si="0"/>
        <v>40666</v>
      </c>
      <c r="I5" s="118">
        <f t="shared" si="0"/>
        <v>40667</v>
      </c>
      <c r="J5" s="118">
        <f t="shared" si="0"/>
        <v>40668</v>
      </c>
      <c r="K5" s="118">
        <f t="shared" si="0"/>
        <v>40669</v>
      </c>
      <c r="L5" s="118">
        <f t="shared" si="0"/>
        <v>40670</v>
      </c>
      <c r="M5" s="118">
        <f t="shared" si="0"/>
        <v>40671</v>
      </c>
      <c r="N5" s="118">
        <f t="shared" si="0"/>
        <v>40672</v>
      </c>
      <c r="O5" s="118">
        <f t="shared" si="0"/>
        <v>40673</v>
      </c>
      <c r="P5" s="118">
        <f t="shared" si="0"/>
        <v>40674</v>
      </c>
      <c r="Q5" s="118">
        <f t="shared" si="0"/>
        <v>40675</v>
      </c>
      <c r="R5" s="118">
        <f t="shared" si="0"/>
        <v>40676</v>
      </c>
      <c r="S5" s="118">
        <f t="shared" si="0"/>
        <v>40677</v>
      </c>
      <c r="T5" s="118">
        <f t="shared" si="0"/>
        <v>40678</v>
      </c>
      <c r="U5" s="118">
        <f t="shared" si="0"/>
        <v>40679</v>
      </c>
      <c r="V5" s="118">
        <f t="shared" si="0"/>
        <v>40680</v>
      </c>
      <c r="W5" s="118">
        <f t="shared" si="0"/>
        <v>40681</v>
      </c>
      <c r="X5" s="118">
        <f t="shared" si="0"/>
        <v>40682</v>
      </c>
      <c r="Y5" s="118">
        <f t="shared" si="0"/>
        <v>40683</v>
      </c>
      <c r="Z5" s="118">
        <f t="shared" si="0"/>
        <v>40684</v>
      </c>
      <c r="AA5" s="118">
        <f t="shared" si="0"/>
        <v>40685</v>
      </c>
      <c r="AB5" s="118">
        <f t="shared" si="0"/>
        <v>40686</v>
      </c>
      <c r="AC5" s="118">
        <f t="shared" si="0"/>
        <v>40687</v>
      </c>
      <c r="AD5" s="118">
        <f t="shared" si="0"/>
        <v>40688</v>
      </c>
      <c r="AE5" s="118">
        <f t="shared" si="0"/>
        <v>40689</v>
      </c>
      <c r="AF5" s="118">
        <f t="shared" si="0"/>
        <v>40690</v>
      </c>
      <c r="AG5" s="118">
        <f t="shared" si="0"/>
        <v>40691</v>
      </c>
      <c r="AH5" s="118">
        <f>AG5+1</f>
        <v>40692</v>
      </c>
      <c r="AI5" s="118">
        <f t="shared" si="0"/>
        <v>40693</v>
      </c>
      <c r="AJ5" s="118">
        <f t="shared" si="0"/>
        <v>40694</v>
      </c>
      <c r="AK5" s="259" t="s">
        <v>15</v>
      </c>
      <c r="AL5" s="260"/>
      <c r="AM5" s="261"/>
      <c r="AN5" s="265" t="s">
        <v>45</v>
      </c>
      <c r="AO5" s="265" t="s">
        <v>41</v>
      </c>
      <c r="AP5" s="265" t="s">
        <v>42</v>
      </c>
      <c r="AQ5" s="265" t="s">
        <v>43</v>
      </c>
      <c r="AR5" s="265" t="s">
        <v>44</v>
      </c>
      <c r="AS5" s="264" t="s">
        <v>0</v>
      </c>
      <c r="AT5" s="26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63"/>
      <c r="B6" s="263"/>
      <c r="C6" s="263"/>
      <c r="D6" s="263"/>
      <c r="E6" s="263"/>
      <c r="F6" s="175" t="str">
        <f>CHOOSE(WEEKDAY(F5),"C.Nhật","T.Hai","T.Ba","T.Tư","T.Năm","T.Sáu","T.Bảy")</f>
        <v>C.Nhật</v>
      </c>
      <c r="G6" s="175" t="str">
        <f t="shared" ref="G6:AJ6" si="1">CHOOSE(WEEKDAY(G5),"C.Nhật","T.Hai","T.Ba","T.Tư","T.Năm","T.Sáu","T.Bảy")</f>
        <v>T.Hai</v>
      </c>
      <c r="H6" s="175" t="str">
        <f t="shared" si="1"/>
        <v>T.Ba</v>
      </c>
      <c r="I6" s="175" t="str">
        <f t="shared" si="1"/>
        <v>T.Tư</v>
      </c>
      <c r="J6" s="175" t="str">
        <f t="shared" si="1"/>
        <v>T.Năm</v>
      </c>
      <c r="K6" s="175" t="str">
        <f t="shared" si="1"/>
        <v>T.Sáu</v>
      </c>
      <c r="L6" s="175" t="str">
        <f t="shared" si="1"/>
        <v>T.Bảy</v>
      </c>
      <c r="M6" s="175" t="str">
        <f t="shared" si="1"/>
        <v>C.Nhật</v>
      </c>
      <c r="N6" s="175" t="str">
        <f t="shared" si="1"/>
        <v>T.Hai</v>
      </c>
      <c r="O6" s="175" t="str">
        <f t="shared" si="1"/>
        <v>T.Ba</v>
      </c>
      <c r="P6" s="175" t="str">
        <f t="shared" si="1"/>
        <v>T.Tư</v>
      </c>
      <c r="Q6" s="175" t="str">
        <f t="shared" si="1"/>
        <v>T.Năm</v>
      </c>
      <c r="R6" s="175" t="str">
        <f t="shared" si="1"/>
        <v>T.Sáu</v>
      </c>
      <c r="S6" s="175" t="str">
        <f t="shared" si="1"/>
        <v>T.Bảy</v>
      </c>
      <c r="T6" s="175" t="str">
        <f t="shared" si="1"/>
        <v>C.Nhật</v>
      </c>
      <c r="U6" s="175" t="str">
        <f t="shared" si="1"/>
        <v>T.Hai</v>
      </c>
      <c r="V6" s="175" t="str">
        <f t="shared" si="1"/>
        <v>T.Ba</v>
      </c>
      <c r="W6" s="175" t="str">
        <f t="shared" si="1"/>
        <v>T.Tư</v>
      </c>
      <c r="X6" s="175" t="str">
        <f t="shared" si="1"/>
        <v>T.Năm</v>
      </c>
      <c r="Y6" s="175" t="str">
        <f t="shared" si="1"/>
        <v>T.Sáu</v>
      </c>
      <c r="Z6" s="175" t="str">
        <f t="shared" si="1"/>
        <v>T.Bảy</v>
      </c>
      <c r="AA6" s="175" t="str">
        <f t="shared" si="1"/>
        <v>C.Nhật</v>
      </c>
      <c r="AB6" s="175" t="str">
        <f t="shared" si="1"/>
        <v>T.Hai</v>
      </c>
      <c r="AC6" s="175" t="str">
        <f t="shared" si="1"/>
        <v>T.Ba</v>
      </c>
      <c r="AD6" s="175" t="str">
        <f t="shared" si="1"/>
        <v>T.Tư</v>
      </c>
      <c r="AE6" s="175" t="str">
        <f t="shared" si="1"/>
        <v>T.Năm</v>
      </c>
      <c r="AF6" s="175" t="str">
        <f t="shared" si="1"/>
        <v>T.Sáu</v>
      </c>
      <c r="AG6" s="175" t="str">
        <f t="shared" si="1"/>
        <v>T.Bảy</v>
      </c>
      <c r="AH6" s="175" t="str">
        <f t="shared" si="1"/>
        <v>C.Nhật</v>
      </c>
      <c r="AI6" s="175" t="str">
        <f t="shared" si="1"/>
        <v>T.Hai</v>
      </c>
      <c r="AJ6" s="175" t="str">
        <f t="shared" si="1"/>
        <v>T.Ba</v>
      </c>
      <c r="AK6" s="176" t="s">
        <v>16</v>
      </c>
      <c r="AL6" s="176" t="s">
        <v>31</v>
      </c>
      <c r="AM6" s="177" t="s">
        <v>17</v>
      </c>
      <c r="AN6" s="266"/>
      <c r="AO6" s="266"/>
      <c r="AP6" s="266"/>
      <c r="AQ6" s="266"/>
      <c r="AR6" s="266"/>
      <c r="AS6" s="263"/>
      <c r="AT6" s="26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11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169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53">
        <v>1</v>
      </c>
      <c r="B9" s="253" t="s">
        <v>160</v>
      </c>
      <c r="C9" s="255" t="str">
        <f>VLOOKUP(B9,DS,2,0)</f>
        <v>Lê Kim Ngọc Thảo</v>
      </c>
      <c r="D9" s="257" t="str">
        <f>VLOOKUP(B9,DS,3,0)</f>
        <v>Văn Phòng</v>
      </c>
      <c r="E9" s="68" t="s">
        <v>32</v>
      </c>
      <c r="F9" s="143"/>
      <c r="G9" s="143"/>
      <c r="H9" s="143">
        <v>8</v>
      </c>
      <c r="I9" s="143">
        <v>8</v>
      </c>
      <c r="J9" s="143">
        <v>8</v>
      </c>
      <c r="K9" s="143">
        <v>8</v>
      </c>
      <c r="L9" s="143">
        <v>8</v>
      </c>
      <c r="M9" s="143"/>
      <c r="N9" s="143">
        <v>8</v>
      </c>
      <c r="O9" s="143">
        <v>8</v>
      </c>
      <c r="P9" s="143">
        <v>8</v>
      </c>
      <c r="Q9" s="143">
        <v>8</v>
      </c>
      <c r="R9" s="143">
        <v>8</v>
      </c>
      <c r="S9" s="143">
        <v>8</v>
      </c>
      <c r="T9" s="143"/>
      <c r="U9" s="143">
        <v>8</v>
      </c>
      <c r="V9" s="143">
        <v>8</v>
      </c>
      <c r="W9" s="143">
        <v>8</v>
      </c>
      <c r="X9" s="143">
        <v>8</v>
      </c>
      <c r="Y9" s="143">
        <v>8</v>
      </c>
      <c r="Z9" s="143">
        <v>8</v>
      </c>
      <c r="AA9" s="143"/>
      <c r="AB9" s="143">
        <v>8</v>
      </c>
      <c r="AC9" s="143">
        <v>8</v>
      </c>
      <c r="AD9" s="143">
        <v>8</v>
      </c>
      <c r="AE9" s="143">
        <v>8</v>
      </c>
      <c r="AF9" s="143">
        <v>8</v>
      </c>
      <c r="AG9" s="143">
        <v>8</v>
      </c>
      <c r="AH9" s="143"/>
      <c r="AI9" s="143">
        <v>8</v>
      </c>
      <c r="AJ9" s="143">
        <v>8</v>
      </c>
      <c r="AK9" s="247">
        <f>((SUM(F9:AJ9))/8)-(SUMIF($F$6:$AJ$6,"C.Nhật",F9:AJ9)/8)</f>
        <v>25</v>
      </c>
      <c r="AL9" s="247">
        <f>SUM(F10:AJ10)/8*1.5</f>
        <v>0</v>
      </c>
      <c r="AM9" s="249">
        <f>SUMIF($F$6:$AJ$6,"C.Nhật",$F9:$AJ10)/8*2</f>
        <v>0</v>
      </c>
      <c r="AN9" s="240">
        <f>SUM(AK9:AM10)</f>
        <v>25</v>
      </c>
      <c r="AO9" s="251">
        <v>0</v>
      </c>
      <c r="AP9" s="240"/>
      <c r="AQ9" s="240"/>
      <c r="AR9" s="240"/>
      <c r="AS9" s="242"/>
      <c r="AT9" s="11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4"/>
      <c r="B10" s="254"/>
      <c r="C10" s="256"/>
      <c r="D10" s="258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8"/>
      <c r="AL10" s="248"/>
      <c r="AM10" s="250"/>
      <c r="AN10" s="241"/>
      <c r="AO10" s="252"/>
      <c r="AP10" s="241"/>
      <c r="AQ10" s="241"/>
      <c r="AR10" s="241"/>
      <c r="AS10" s="243"/>
      <c r="AT10" s="11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3">
        <v>2</v>
      </c>
      <c r="B11" s="253" t="s">
        <v>161</v>
      </c>
      <c r="C11" s="255" t="str">
        <f>VLOOKUP(B11,DS,2,0)</f>
        <v>Lê Hoàng Diệu</v>
      </c>
      <c r="D11" s="257" t="str">
        <f>VLOOKUP(B11,DS,3,0)</f>
        <v>Kinh Doanh</v>
      </c>
      <c r="E11" s="68" t="s">
        <v>32</v>
      </c>
      <c r="F11" s="143"/>
      <c r="G11" s="143"/>
      <c r="H11" s="143">
        <v>8</v>
      </c>
      <c r="I11" s="143">
        <v>8</v>
      </c>
      <c r="J11" s="143">
        <v>8</v>
      </c>
      <c r="K11" s="143">
        <v>8</v>
      </c>
      <c r="L11" s="143">
        <v>8</v>
      </c>
      <c r="M11" s="143"/>
      <c r="N11" s="143">
        <v>8</v>
      </c>
      <c r="O11" s="143">
        <v>8</v>
      </c>
      <c r="P11" s="143">
        <v>8</v>
      </c>
      <c r="Q11" s="143">
        <v>8</v>
      </c>
      <c r="R11" s="143">
        <v>8</v>
      </c>
      <c r="S11" s="143">
        <v>8</v>
      </c>
      <c r="T11" s="143"/>
      <c r="U11" s="143">
        <v>8</v>
      </c>
      <c r="V11" s="143">
        <v>8</v>
      </c>
      <c r="W11" s="143">
        <v>8</v>
      </c>
      <c r="X11" s="143">
        <v>8</v>
      </c>
      <c r="Y11" s="143">
        <v>8</v>
      </c>
      <c r="Z11" s="143">
        <v>8</v>
      </c>
      <c r="AA11" s="143"/>
      <c r="AB11" s="143">
        <v>8</v>
      </c>
      <c r="AC11" s="143">
        <v>8</v>
      </c>
      <c r="AD11" s="143">
        <v>8</v>
      </c>
      <c r="AE11" s="143">
        <v>8</v>
      </c>
      <c r="AF11" s="143">
        <v>8</v>
      </c>
      <c r="AG11" s="143">
        <v>8</v>
      </c>
      <c r="AH11" s="143"/>
      <c r="AI11" s="143">
        <v>8</v>
      </c>
      <c r="AJ11" s="143">
        <v>8</v>
      </c>
      <c r="AK11" s="247">
        <f t="shared" ref="AK11" si="2">((SUM(F11:AJ11))/8)-(SUMIF($F$6:$AJ$6,"C.Nhật",F11:AJ11)/8)</f>
        <v>25</v>
      </c>
      <c r="AL11" s="247">
        <f t="shared" ref="AL11" si="3">SUM(F12:AJ12)/8*1.5</f>
        <v>0</v>
      </c>
      <c r="AM11" s="249">
        <f t="shared" ref="AM11:AM13" si="4">SUMIF($F$6:$AJ$6,"C.Nhật",$F11:$AJ12)/8*2</f>
        <v>0</v>
      </c>
      <c r="AN11" s="240">
        <f t="shared" ref="AN11" si="5">SUM(AK11:AM12)</f>
        <v>25</v>
      </c>
      <c r="AO11" s="251">
        <v>0</v>
      </c>
      <c r="AP11" s="240"/>
      <c r="AQ11" s="240"/>
      <c r="AR11" s="240"/>
      <c r="AS11" s="242"/>
      <c r="AT11" s="1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4"/>
      <c r="B12" s="254"/>
      <c r="C12" s="256"/>
      <c r="D12" s="258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8"/>
      <c r="AL12" s="248"/>
      <c r="AM12" s="250"/>
      <c r="AN12" s="241"/>
      <c r="AO12" s="252"/>
      <c r="AP12" s="241"/>
      <c r="AQ12" s="241"/>
      <c r="AR12" s="241"/>
      <c r="AS12" s="243"/>
      <c r="AT12" s="1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3">
        <v>3</v>
      </c>
      <c r="B13" s="253" t="s">
        <v>168</v>
      </c>
      <c r="C13" s="255" t="str">
        <f>VLOOKUP(B13,DS,2,0)</f>
        <v>Trần Hòa Toản</v>
      </c>
      <c r="D13" s="257" t="str">
        <f>VLOOKUP(B13,DS,3,0)</f>
        <v>Tài xế</v>
      </c>
      <c r="E13" s="68" t="s">
        <v>32</v>
      </c>
      <c r="F13" s="143"/>
      <c r="G13" s="143"/>
      <c r="H13" s="143">
        <v>8</v>
      </c>
      <c r="I13" s="143">
        <v>8</v>
      </c>
      <c r="J13" s="143">
        <v>8</v>
      </c>
      <c r="K13" s="143">
        <v>8</v>
      </c>
      <c r="L13" s="143">
        <v>8</v>
      </c>
      <c r="M13" s="143"/>
      <c r="N13" s="143">
        <v>8</v>
      </c>
      <c r="O13" s="143">
        <v>8</v>
      </c>
      <c r="P13" s="143">
        <v>8</v>
      </c>
      <c r="Q13" s="143">
        <v>8</v>
      </c>
      <c r="R13" s="143">
        <v>8</v>
      </c>
      <c r="S13" s="143">
        <v>8</v>
      </c>
      <c r="T13" s="143"/>
      <c r="U13" s="143">
        <v>8</v>
      </c>
      <c r="V13" s="143">
        <v>8</v>
      </c>
      <c r="W13" s="143">
        <v>8</v>
      </c>
      <c r="X13" s="143">
        <v>8</v>
      </c>
      <c r="Y13" s="143">
        <v>8</v>
      </c>
      <c r="Z13" s="143">
        <v>8</v>
      </c>
      <c r="AA13" s="143"/>
      <c r="AB13" s="143">
        <v>8</v>
      </c>
      <c r="AC13" s="143">
        <v>8</v>
      </c>
      <c r="AD13" s="143">
        <v>8</v>
      </c>
      <c r="AE13" s="143">
        <v>8</v>
      </c>
      <c r="AF13" s="143">
        <v>8</v>
      </c>
      <c r="AG13" s="143">
        <v>8</v>
      </c>
      <c r="AH13" s="143"/>
      <c r="AI13" s="143">
        <v>8</v>
      </c>
      <c r="AJ13" s="143">
        <v>8</v>
      </c>
      <c r="AK13" s="247">
        <f t="shared" ref="AK13" si="6">((SUM(F13:AJ13))/8)-(SUMIF($F$6:$AJ$6,"C.Nhật",F13:AJ13)/8)</f>
        <v>25</v>
      </c>
      <c r="AL13" s="247">
        <f t="shared" ref="AL13" si="7">SUM(F14:AJ14)/8*1.5</f>
        <v>0</v>
      </c>
      <c r="AM13" s="249">
        <f t="shared" si="4"/>
        <v>0</v>
      </c>
      <c r="AN13" s="240">
        <f t="shared" ref="AN13" si="8">SUM(AK13:AM14)</f>
        <v>25</v>
      </c>
      <c r="AO13" s="251">
        <v>0</v>
      </c>
      <c r="AP13" s="240"/>
      <c r="AQ13" s="240"/>
      <c r="AR13" s="240"/>
      <c r="AS13" s="242"/>
      <c r="AT13" s="11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4"/>
      <c r="B14" s="254"/>
      <c r="C14" s="256"/>
      <c r="D14" s="258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48"/>
      <c r="AL14" s="248"/>
      <c r="AM14" s="250"/>
      <c r="AN14" s="241"/>
      <c r="AO14" s="252"/>
      <c r="AP14" s="241"/>
      <c r="AQ14" s="241"/>
      <c r="AR14" s="241"/>
      <c r="AS14" s="243"/>
      <c r="AT14" s="11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159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53">
        <v>1</v>
      </c>
      <c r="B16" s="253" t="s">
        <v>162</v>
      </c>
      <c r="C16" s="255" t="str">
        <f>VLOOKUP(B16,DS,2,0)</f>
        <v>Bùi Trường Giang</v>
      </c>
      <c r="D16" s="257" t="str">
        <f>VLOOKUP(B16,DS,3,0)</f>
        <v>Thợ in</v>
      </c>
      <c r="E16" s="68" t="s">
        <v>32</v>
      </c>
      <c r="F16" s="143"/>
      <c r="G16" s="143"/>
      <c r="H16" s="143">
        <v>8</v>
      </c>
      <c r="I16" s="143">
        <v>8</v>
      </c>
      <c r="J16" s="143">
        <v>8</v>
      </c>
      <c r="K16" s="143">
        <v>8</v>
      </c>
      <c r="L16" s="143">
        <v>8</v>
      </c>
      <c r="M16" s="143"/>
      <c r="N16" s="143">
        <v>8</v>
      </c>
      <c r="O16" s="143">
        <v>8</v>
      </c>
      <c r="P16" s="143">
        <v>8</v>
      </c>
      <c r="Q16" s="143">
        <v>8</v>
      </c>
      <c r="R16" s="143">
        <v>8</v>
      </c>
      <c r="S16" s="143">
        <v>8</v>
      </c>
      <c r="T16" s="143"/>
      <c r="U16" s="143">
        <v>8</v>
      </c>
      <c r="V16" s="143">
        <v>8</v>
      </c>
      <c r="W16" s="143">
        <v>8</v>
      </c>
      <c r="X16" s="143">
        <v>8</v>
      </c>
      <c r="Y16" s="143">
        <v>8</v>
      </c>
      <c r="Z16" s="143">
        <v>8</v>
      </c>
      <c r="AA16" s="143"/>
      <c r="AB16" s="143">
        <v>8</v>
      </c>
      <c r="AC16" s="143">
        <v>8</v>
      </c>
      <c r="AD16" s="143">
        <v>8</v>
      </c>
      <c r="AE16" s="143">
        <v>8</v>
      </c>
      <c r="AF16" s="143">
        <v>8</v>
      </c>
      <c r="AG16" s="143">
        <v>8</v>
      </c>
      <c r="AH16" s="143"/>
      <c r="AI16" s="143">
        <v>8</v>
      </c>
      <c r="AJ16" s="143">
        <v>8</v>
      </c>
      <c r="AK16" s="247">
        <f t="shared" ref="AK16" si="9">((SUM(F16:AJ16))/8)-(SUMIF($F$6:$AJ$6,"C.Nhật",F16:AJ16)/8)</f>
        <v>25</v>
      </c>
      <c r="AL16" s="247">
        <f t="shared" ref="AL16" si="10">SUM(F17:AJ17)/8*1.5</f>
        <v>0</v>
      </c>
      <c r="AM16" s="249">
        <f>SUMIF($F$6:$AJ$6,"C.Nhật",$F16:$AJ17)/8*2</f>
        <v>0</v>
      </c>
      <c r="AN16" s="240">
        <f>SUM(AK16:AM17)</f>
        <v>25</v>
      </c>
      <c r="AO16" s="251">
        <v>0</v>
      </c>
      <c r="AP16" s="240"/>
      <c r="AQ16" s="240"/>
      <c r="AR16" s="240"/>
      <c r="AS16" s="242"/>
      <c r="AT16" s="14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4"/>
      <c r="B17" s="254"/>
      <c r="C17" s="256"/>
      <c r="D17" s="258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8"/>
      <c r="AL17" s="248"/>
      <c r="AM17" s="250"/>
      <c r="AN17" s="241"/>
      <c r="AO17" s="252"/>
      <c r="AP17" s="241"/>
      <c r="AQ17" s="241"/>
      <c r="AR17" s="241"/>
      <c r="AS17" s="243"/>
      <c r="AT17" s="14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3">
        <f>A16+1</f>
        <v>2</v>
      </c>
      <c r="B18" s="253" t="s">
        <v>163</v>
      </c>
      <c r="C18" s="255" t="str">
        <f>VLOOKUP(B18,DS,2,0)</f>
        <v>Huỳnh Thanh Tùng</v>
      </c>
      <c r="D18" s="257" t="str">
        <f>VLOOKUP(B18,DS,3,0)</f>
        <v>Thợ đóng - xả</v>
      </c>
      <c r="E18" s="68" t="s">
        <v>32</v>
      </c>
      <c r="F18" s="143"/>
      <c r="G18" s="143"/>
      <c r="H18" s="143">
        <v>8</v>
      </c>
      <c r="I18" s="143">
        <v>8</v>
      </c>
      <c r="J18" s="143">
        <v>8</v>
      </c>
      <c r="K18" s="143">
        <v>8</v>
      </c>
      <c r="L18" s="143">
        <v>8</v>
      </c>
      <c r="M18" s="143"/>
      <c r="N18" s="143">
        <v>8</v>
      </c>
      <c r="O18" s="143">
        <v>8</v>
      </c>
      <c r="P18" s="143">
        <v>8</v>
      </c>
      <c r="Q18" s="143">
        <v>8</v>
      </c>
      <c r="R18" s="143">
        <v>8</v>
      </c>
      <c r="S18" s="143">
        <v>8</v>
      </c>
      <c r="T18" s="143"/>
      <c r="U18" s="143">
        <v>8</v>
      </c>
      <c r="V18" s="143">
        <v>8</v>
      </c>
      <c r="W18" s="143">
        <v>8</v>
      </c>
      <c r="X18" s="143">
        <v>8</v>
      </c>
      <c r="Y18" s="143">
        <v>8</v>
      </c>
      <c r="Z18" s="143">
        <v>8</v>
      </c>
      <c r="AA18" s="143"/>
      <c r="AB18" s="143">
        <v>8</v>
      </c>
      <c r="AC18" s="143">
        <v>8</v>
      </c>
      <c r="AD18" s="143">
        <v>8</v>
      </c>
      <c r="AE18" s="143">
        <v>8</v>
      </c>
      <c r="AF18" s="143">
        <v>8</v>
      </c>
      <c r="AG18" s="143">
        <v>8</v>
      </c>
      <c r="AH18" s="143"/>
      <c r="AI18" s="143">
        <v>8</v>
      </c>
      <c r="AJ18" s="143">
        <v>8</v>
      </c>
      <c r="AK18" s="247">
        <f t="shared" ref="AK18" si="11">((SUM(F18:AJ18))/8)-(SUMIF($F$6:$AJ$6,"C.Nhật",F18:AJ18)/8)</f>
        <v>25</v>
      </c>
      <c r="AL18" s="247">
        <f t="shared" ref="AL18" si="12">SUM(F19:AJ19)/8*1.5</f>
        <v>0</v>
      </c>
      <c r="AM18" s="249">
        <f>SUMIF($F$6:$AJ$6,"C.Nhật",$F18:$AJ19)/8*2</f>
        <v>0</v>
      </c>
      <c r="AN18" s="240">
        <f t="shared" ref="AN18" si="13">SUM(AK18:AM19)</f>
        <v>25</v>
      </c>
      <c r="AO18" s="251">
        <v>0</v>
      </c>
      <c r="AP18" s="240"/>
      <c r="AQ18" s="240"/>
      <c r="AR18" s="240"/>
      <c r="AS18" s="242"/>
      <c r="AT18" s="14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4"/>
      <c r="B19" s="254"/>
      <c r="C19" s="256"/>
      <c r="D19" s="258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8"/>
      <c r="AL19" s="248"/>
      <c r="AM19" s="250"/>
      <c r="AN19" s="241"/>
      <c r="AO19" s="252"/>
      <c r="AP19" s="241"/>
      <c r="AQ19" s="241"/>
      <c r="AR19" s="241"/>
      <c r="AS19" s="243"/>
      <c r="AT19" s="14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3">
        <f t="shared" ref="A20" si="14">A18+1</f>
        <v>3</v>
      </c>
      <c r="B20" s="253" t="s">
        <v>164</v>
      </c>
      <c r="C20" s="255" t="str">
        <f>VLOOKUP(B20,DS,2,0)</f>
        <v>Danh Sà Phép</v>
      </c>
      <c r="D20" s="257" t="str">
        <f>VLOOKUP(B20,DS,3,0)</f>
        <v>Công nhân</v>
      </c>
      <c r="E20" s="68" t="s">
        <v>32</v>
      </c>
      <c r="F20" s="143"/>
      <c r="G20" s="143"/>
      <c r="H20" s="143">
        <v>8</v>
      </c>
      <c r="I20" s="143">
        <v>8</v>
      </c>
      <c r="J20" s="143">
        <v>8</v>
      </c>
      <c r="K20" s="143">
        <v>8</v>
      </c>
      <c r="L20" s="143">
        <v>8</v>
      </c>
      <c r="M20" s="143"/>
      <c r="N20" s="143">
        <v>8</v>
      </c>
      <c r="O20" s="143">
        <v>8</v>
      </c>
      <c r="P20" s="143">
        <v>8</v>
      </c>
      <c r="Q20" s="143">
        <v>8</v>
      </c>
      <c r="R20" s="143">
        <v>8</v>
      </c>
      <c r="S20" s="143">
        <v>8</v>
      </c>
      <c r="T20" s="143"/>
      <c r="U20" s="143">
        <v>8</v>
      </c>
      <c r="V20" s="143">
        <v>8</v>
      </c>
      <c r="W20" s="143">
        <v>8</v>
      </c>
      <c r="X20" s="143">
        <v>8</v>
      </c>
      <c r="Y20" s="143">
        <v>8</v>
      </c>
      <c r="Z20" s="143">
        <v>8</v>
      </c>
      <c r="AA20" s="143"/>
      <c r="AB20" s="143">
        <v>8</v>
      </c>
      <c r="AC20" s="143">
        <v>8</v>
      </c>
      <c r="AD20" s="143">
        <v>8</v>
      </c>
      <c r="AE20" s="143">
        <v>8</v>
      </c>
      <c r="AF20" s="143">
        <v>8</v>
      </c>
      <c r="AG20" s="143">
        <v>8</v>
      </c>
      <c r="AH20" s="143"/>
      <c r="AI20" s="143">
        <v>8</v>
      </c>
      <c r="AJ20" s="143">
        <v>8</v>
      </c>
      <c r="AK20" s="247">
        <f t="shared" ref="AK20" si="15">((SUM(F20:AJ20))/8)-(SUMIF($F$6:$AJ$6,"C.Nhật",F20:AJ20)/8)</f>
        <v>25</v>
      </c>
      <c r="AL20" s="247">
        <f t="shared" ref="AL20" si="16">SUM(F21:AJ21)/8*1.5</f>
        <v>0</v>
      </c>
      <c r="AM20" s="249">
        <f>SUMIF($F$6:$AJ$6,"C.Nhật",$F20:$AJ21)/8*2</f>
        <v>0</v>
      </c>
      <c r="AN20" s="240">
        <f t="shared" ref="AN20" si="17">SUM(AK20:AM21)</f>
        <v>25</v>
      </c>
      <c r="AO20" s="251">
        <v>0</v>
      </c>
      <c r="AP20" s="240"/>
      <c r="AQ20" s="240"/>
      <c r="AR20" s="240"/>
      <c r="AS20" s="242"/>
      <c r="AT20" s="14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4"/>
      <c r="B21" s="254"/>
      <c r="C21" s="256"/>
      <c r="D21" s="258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8"/>
      <c r="AL21" s="248"/>
      <c r="AM21" s="250"/>
      <c r="AN21" s="241"/>
      <c r="AO21" s="252"/>
      <c r="AP21" s="241"/>
      <c r="AQ21" s="241"/>
      <c r="AR21" s="241"/>
      <c r="AS21" s="243"/>
      <c r="AT21" s="14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115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115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3:3" ht="15" customHeight="1">
      <c r="C33" s="2" t="s">
        <v>49</v>
      </c>
    </row>
    <row r="34" spans="3:3" ht="15" customHeight="1">
      <c r="C34" s="2" t="s">
        <v>50</v>
      </c>
    </row>
    <row r="35" spans="3:3" ht="15" customHeight="1">
      <c r="C35" s="2" t="s">
        <v>51</v>
      </c>
    </row>
    <row r="36" spans="3:3" ht="15" customHeight="1">
      <c r="C36" s="2" t="s">
        <v>52</v>
      </c>
    </row>
    <row r="37" spans="3:3" ht="15" customHeight="1">
      <c r="C37" s="2" t="s">
        <v>53</v>
      </c>
    </row>
    <row r="38" spans="3:3" ht="15" customHeight="1">
      <c r="C38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C16:E21 A16:A21" name="Range1_6_2"/>
    <protectedRange password="CC78" sqref="B16:B21" name="Range1_4_2"/>
  </protectedRanges>
  <mergeCells count="92">
    <mergeCell ref="AO18:AO19"/>
    <mergeCell ref="D20:D21"/>
    <mergeCell ref="AK20:AK21"/>
    <mergeCell ref="AL20:AL21"/>
    <mergeCell ref="AM20:AM21"/>
    <mergeCell ref="AN20:AN21"/>
    <mergeCell ref="D18:D19"/>
    <mergeCell ref="AK18:AK19"/>
    <mergeCell ref="AL18:AL19"/>
    <mergeCell ref="AM18:AM19"/>
    <mergeCell ref="AN18:AN19"/>
    <mergeCell ref="AT5:AT6"/>
    <mergeCell ref="AO9:AO10"/>
    <mergeCell ref="AP9:AP10"/>
    <mergeCell ref="AQ9:AQ10"/>
    <mergeCell ref="AR9:AR10"/>
    <mergeCell ref="AS9:AS10"/>
    <mergeCell ref="AS5:AS6"/>
    <mergeCell ref="AR5:AR6"/>
    <mergeCell ref="AQ13:AQ14"/>
    <mergeCell ref="A5:A6"/>
    <mergeCell ref="C5:C6"/>
    <mergeCell ref="D5:D6"/>
    <mergeCell ref="B5:B6"/>
    <mergeCell ref="AQ5:AQ6"/>
    <mergeCell ref="AM9:AM10"/>
    <mergeCell ref="AO5:AO6"/>
    <mergeCell ref="AP5:AP6"/>
    <mergeCell ref="AL9:AL10"/>
    <mergeCell ref="A9:A10"/>
    <mergeCell ref="B9:B10"/>
    <mergeCell ref="C9:C10"/>
    <mergeCell ref="D9:D10"/>
    <mergeCell ref="E5:E6"/>
    <mergeCell ref="AN5:AN6"/>
    <mergeCell ref="AK5:AM5"/>
    <mergeCell ref="AK9:AK10"/>
    <mergeCell ref="AN9:AN10"/>
    <mergeCell ref="A13:A14"/>
    <mergeCell ref="B13:B14"/>
    <mergeCell ref="C13:C14"/>
    <mergeCell ref="D13:D14"/>
    <mergeCell ref="AN13:AN14"/>
    <mergeCell ref="A11:A12"/>
    <mergeCell ref="B11:B12"/>
    <mergeCell ref="C11:C12"/>
    <mergeCell ref="D11:D12"/>
    <mergeCell ref="AK11:AK12"/>
    <mergeCell ref="AL16:AL17"/>
    <mergeCell ref="AM16:AM17"/>
    <mergeCell ref="AN16:AN17"/>
    <mergeCell ref="AO16:AO17"/>
    <mergeCell ref="A20:A21"/>
    <mergeCell ref="B20:B21"/>
    <mergeCell ref="C20:C21"/>
    <mergeCell ref="A16:A17"/>
    <mergeCell ref="B16:B17"/>
    <mergeCell ref="C16:C17"/>
    <mergeCell ref="D16:D17"/>
    <mergeCell ref="AK16:AK17"/>
    <mergeCell ref="AO20:AO21"/>
    <mergeCell ref="A18:A19"/>
    <mergeCell ref="B18:B19"/>
    <mergeCell ref="C18:C19"/>
    <mergeCell ref="AM1:AS1"/>
    <mergeCell ref="AS13:AS14"/>
    <mergeCell ref="AK13:AK14"/>
    <mergeCell ref="AL13:AL14"/>
    <mergeCell ref="AM13:AM14"/>
    <mergeCell ref="AR13:AR14"/>
    <mergeCell ref="AP11:AP12"/>
    <mergeCell ref="AQ11:AQ12"/>
    <mergeCell ref="AR11:AR12"/>
    <mergeCell ref="AS11:AS12"/>
    <mergeCell ref="AL11:AL12"/>
    <mergeCell ref="AM11:AM12"/>
    <mergeCell ref="AN11:AN12"/>
    <mergeCell ref="AO11:AO12"/>
    <mergeCell ref="AO13:AO14"/>
    <mergeCell ref="AP13:AP14"/>
    <mergeCell ref="AP20:AP21"/>
    <mergeCell ref="AQ20:AQ21"/>
    <mergeCell ref="AR20:AR21"/>
    <mergeCell ref="AS20:AS21"/>
    <mergeCell ref="AP16:AP17"/>
    <mergeCell ref="AQ16:AQ17"/>
    <mergeCell ref="AR16:AR17"/>
    <mergeCell ref="AS16:AS17"/>
    <mergeCell ref="AP18:AP19"/>
    <mergeCell ref="AQ18:AQ19"/>
    <mergeCell ref="AR18:AR19"/>
    <mergeCell ref="AS18:AS19"/>
  </mergeCells>
  <phoneticPr fontId="47" type="noConversion"/>
  <conditionalFormatting sqref="F5:AJ6 F13:G14 F9:AJ10 H11:AJ14 F16:G21">
    <cfRule type="expression" dxfId="98" priority="25" stopIfTrue="1">
      <formula>IF(WEEKDAY(F$5)=1,TRUE,FALSE)</formula>
    </cfRule>
  </conditionalFormatting>
  <conditionalFormatting sqref="F13:G14 F9:AJ10 H11:AJ14">
    <cfRule type="expression" dxfId="97" priority="22" stopIfTrue="1">
      <formula>IF(WEEKDAY(F$5)=1,TRUE,FALSE)</formula>
    </cfRule>
  </conditionalFormatting>
  <conditionalFormatting sqref="F16:G21">
    <cfRule type="expression" dxfId="96" priority="5" stopIfTrue="1">
      <formula>IF(WEEKDAY(F$5)=1,TRUE,FALSE)</formula>
    </cfRule>
  </conditionalFormatting>
  <conditionalFormatting sqref="F11:G12">
    <cfRule type="expression" dxfId="95" priority="4" stopIfTrue="1">
      <formula>IF(WEEKDAY(F$5)=1,TRUE,FALSE)</formula>
    </cfRule>
  </conditionalFormatting>
  <conditionalFormatting sqref="F11:G12">
    <cfRule type="expression" dxfId="94" priority="3" stopIfTrue="1">
      <formula>IF(WEEKDAY(F$5)=1,TRUE,FALSE)</formula>
    </cfRule>
  </conditionalFormatting>
  <conditionalFormatting sqref="H16:AJ21">
    <cfRule type="expression" dxfId="93" priority="2" stopIfTrue="1">
      <formula>IF(WEEKDAY(H$5)=1,TRUE,FALSE)</formula>
    </cfRule>
  </conditionalFormatting>
  <conditionalFormatting sqref="H16:AJ21">
    <cfRule type="expression" dxfId="92" priority="1" stopIfTrue="1">
      <formula>IF(WEEKDAY(H$5)=1,TRUE,FALSE)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theme="3" tint="-0.249977111117893"/>
  </sheetPr>
  <dimension ref="A1:AE31"/>
  <sheetViews>
    <sheetView zoomScaleNormal="70" workbookViewId="0">
      <pane xSplit="3" ySplit="8" topLeftCell="D9" activePane="bottomRight" state="frozen"/>
      <selection activeCell="E5" sqref="E5:E6"/>
      <selection pane="topRight" activeCell="E5" sqref="E5:E6"/>
      <selection pane="bottomLeft" activeCell="E5" sqref="E5:E6"/>
      <selection pane="bottomRight" activeCell="L10" sqref="L10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47"/>
      <c r="C1" s="47"/>
      <c r="D1" s="277" t="str">
        <f>"BẢNG THANH TOÁN LƯƠNG THÁNG"&amp;" "&amp;TEXT($E$4,"mm")&amp;" / "&amp;TEXT($E$4,"yyyy")</f>
        <v>BẢNG THANH TOÁN LƯƠNG THÁNG 05 / 2011</v>
      </c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8"/>
      <c r="R1" s="271" t="s">
        <v>170</v>
      </c>
      <c r="S1" s="272"/>
      <c r="T1" s="273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47"/>
      <c r="C2" s="47"/>
      <c r="D2" s="47"/>
      <c r="E2" s="81"/>
      <c r="F2" s="47"/>
      <c r="G2" s="47"/>
      <c r="H2" s="47"/>
      <c r="I2" s="47"/>
      <c r="J2" s="82"/>
      <c r="K2" s="47"/>
      <c r="L2" s="47"/>
      <c r="M2" s="174"/>
      <c r="N2" s="47"/>
      <c r="O2" s="47"/>
      <c r="P2" s="47"/>
      <c r="Q2" s="47"/>
      <c r="R2" s="47"/>
      <c r="S2" s="47"/>
      <c r="T2" s="59"/>
      <c r="U2" s="80">
        <v>25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47"/>
      <c r="C3" s="47"/>
      <c r="D3" s="47"/>
      <c r="E3" s="81"/>
      <c r="F3" s="47"/>
      <c r="G3" s="47"/>
      <c r="H3" s="47"/>
      <c r="I3" s="47"/>
      <c r="J3" s="82"/>
      <c r="K3" s="47"/>
      <c r="L3" s="47"/>
      <c r="M3" s="174"/>
      <c r="N3" s="47"/>
      <c r="O3" s="47"/>
      <c r="P3" s="47"/>
      <c r="Q3" s="47"/>
      <c r="R3" s="47"/>
      <c r="S3" s="47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-5'!$E$4</f>
        <v>40664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9" t="s">
        <v>19</v>
      </c>
      <c r="B5" s="279" t="s">
        <v>20</v>
      </c>
      <c r="C5" s="233" t="s">
        <v>1</v>
      </c>
      <c r="D5" s="233" t="s">
        <v>2</v>
      </c>
      <c r="E5" s="228" t="s">
        <v>56</v>
      </c>
      <c r="F5" s="281" t="s">
        <v>26</v>
      </c>
      <c r="G5" s="283"/>
      <c r="H5" s="283"/>
      <c r="I5" s="283"/>
      <c r="J5" s="283"/>
      <c r="K5" s="282"/>
      <c r="L5" s="268" t="s">
        <v>57</v>
      </c>
      <c r="M5" s="268" t="s">
        <v>5</v>
      </c>
      <c r="N5" s="233" t="s">
        <v>6</v>
      </c>
      <c r="O5" s="233"/>
      <c r="P5" s="233"/>
      <c r="Q5" s="268" t="s">
        <v>7</v>
      </c>
      <c r="R5" s="268" t="s">
        <v>8</v>
      </c>
      <c r="S5" s="268" t="s">
        <v>9</v>
      </c>
      <c r="T5" s="22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80"/>
      <c r="B6" s="280"/>
      <c r="C6" s="233"/>
      <c r="D6" s="233"/>
      <c r="E6" s="228"/>
      <c r="F6" s="281" t="s">
        <v>59</v>
      </c>
      <c r="G6" s="282"/>
      <c r="H6" s="281" t="s">
        <v>158</v>
      </c>
      <c r="I6" s="283"/>
      <c r="J6" s="284" t="s">
        <v>27</v>
      </c>
      <c r="K6" s="268" t="s">
        <v>4</v>
      </c>
      <c r="L6" s="269"/>
      <c r="M6" s="269"/>
      <c r="N6" s="274" t="s">
        <v>12</v>
      </c>
      <c r="O6" s="268" t="s">
        <v>13</v>
      </c>
      <c r="P6" s="268" t="s">
        <v>34</v>
      </c>
      <c r="Q6" s="269"/>
      <c r="R6" s="269"/>
      <c r="S6" s="269"/>
      <c r="T6" s="23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80"/>
      <c r="B7" s="280"/>
      <c r="C7" s="268"/>
      <c r="D7" s="268"/>
      <c r="E7" s="228"/>
      <c r="F7" s="34" t="s">
        <v>40</v>
      </c>
      <c r="G7" s="35" t="s">
        <v>18</v>
      </c>
      <c r="H7" s="171" t="s">
        <v>40</v>
      </c>
      <c r="I7" s="128" t="s">
        <v>18</v>
      </c>
      <c r="J7" s="285"/>
      <c r="K7" s="269"/>
      <c r="L7" s="270"/>
      <c r="M7" s="270"/>
      <c r="N7" s="275"/>
      <c r="O7" s="269"/>
      <c r="P7" s="269"/>
      <c r="Q7" s="269"/>
      <c r="R7" s="269"/>
      <c r="S7" s="269"/>
      <c r="T7" s="23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171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160</v>
      </c>
      <c r="C10" s="89" t="str">
        <f t="shared" ref="C10" si="0">VLOOKUP(B10,DS,2,0)</f>
        <v>Lê Kim Ngọc Thảo</v>
      </c>
      <c r="D10" s="116" t="str">
        <f t="shared" ref="D10" si="1">VLOOKUP(B10,DS,3,0)</f>
        <v>Văn Phòng</v>
      </c>
      <c r="E10" s="90">
        <f t="shared" ref="E10" si="2">VLOOKUP(B10,DS,4,0)</f>
        <v>2500000</v>
      </c>
      <c r="F10" s="92">
        <f>VLOOKUP(B10,'CC -5'!$B$8:$AS$21,36,0)</f>
        <v>25</v>
      </c>
      <c r="G10" s="145">
        <f t="shared" ref="G10" si="3">ROUND(E10/$U$2*F10,0)</f>
        <v>2500000</v>
      </c>
      <c r="H10" s="92">
        <f>(VLOOKUP(B10,'CC -5'!$B$8:$AS$21,37,0)+VLOOKUP(B10,'CC -5'!$B$8:$AS$21,38,0))</f>
        <v>0</v>
      </c>
      <c r="I10" s="145">
        <f t="shared" ref="I10" si="4">ROUND(E10/$U$2*H10,0)</f>
        <v>0</v>
      </c>
      <c r="J10" s="93">
        <f t="shared" ref="J10" si="5">F10+H10</f>
        <v>25</v>
      </c>
      <c r="K10" s="39">
        <f>G10+I10</f>
        <v>2500000</v>
      </c>
      <c r="L10" s="90">
        <f t="shared" ref="L10" si="6">+F10*15000</f>
        <v>375000</v>
      </c>
      <c r="M10" s="40">
        <f t="shared" ref="M10" si="7">K10+L10</f>
        <v>2875000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" si="8">M10-SUM(N10:P10)</f>
        <v>2875000</v>
      </c>
      <c r="R10" s="39">
        <f>VLOOKUP(B10,DS,23,0)</f>
        <v>0</v>
      </c>
      <c r="S10" s="45">
        <f t="shared" ref="S10" si="9">Q10-R10</f>
        <v>2875000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161</v>
      </c>
      <c r="C11" s="89" t="str">
        <f t="shared" ref="C11:C12" si="10">VLOOKUP(B11,DS,2,0)</f>
        <v>Lê Hoàng Diệu</v>
      </c>
      <c r="D11" s="116" t="str">
        <f t="shared" ref="D11:D12" si="11">VLOOKUP(B11,DS,3,0)</f>
        <v>Kinh Doanh</v>
      </c>
      <c r="E11" s="90">
        <f t="shared" ref="E11:E12" si="12">VLOOKUP(B11,DS,4,0)</f>
        <v>2400000</v>
      </c>
      <c r="F11" s="92">
        <f>VLOOKUP(B11,'CC -5'!$B$8:$AS$21,36,0)</f>
        <v>25</v>
      </c>
      <c r="G11" s="145">
        <f t="shared" ref="G11:G12" si="13">ROUND(E11/$U$2*F11,0)</f>
        <v>2400000</v>
      </c>
      <c r="H11" s="92">
        <f>(VLOOKUP(B11,'CC -5'!$B$8:$AS$21,37,0)+VLOOKUP(B11,'CC -5'!$B$8:$AS$21,38,0))</f>
        <v>0</v>
      </c>
      <c r="I11" s="145">
        <f t="shared" ref="I11:I12" si="14">ROUND(E11/$U$2*H11,0)</f>
        <v>0</v>
      </c>
      <c r="J11" s="93">
        <f t="shared" ref="J11:J12" si="15">F11+H11</f>
        <v>25</v>
      </c>
      <c r="K11" s="39">
        <f t="shared" ref="K11:K12" si="16">G11+I11</f>
        <v>2400000</v>
      </c>
      <c r="L11" s="90">
        <f t="shared" ref="L11:L12" si="17">+F11*15000</f>
        <v>375000</v>
      </c>
      <c r="M11" s="40">
        <f t="shared" ref="M11:M12" si="18">K11+L11</f>
        <v>2775000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ref="Q11:Q12" si="19">M11-SUM(N11:P11)</f>
        <v>2775000</v>
      </c>
      <c r="R11" s="39">
        <f>VLOOKUP(B11,DS,23,0)</f>
        <v>0</v>
      </c>
      <c r="S11" s="45">
        <f t="shared" ref="S11:S12" si="20">Q11-R11</f>
        <v>2775000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168</v>
      </c>
      <c r="C12" s="89" t="str">
        <f t="shared" si="10"/>
        <v>Trần Hòa Toản</v>
      </c>
      <c r="D12" s="116" t="str">
        <f t="shared" si="11"/>
        <v>Tài xế</v>
      </c>
      <c r="E12" s="90">
        <f t="shared" si="12"/>
        <v>2350000</v>
      </c>
      <c r="F12" s="92">
        <f>VLOOKUP(B12,'CC -5'!$B$8:$AS$21,36,0)</f>
        <v>25</v>
      </c>
      <c r="G12" s="145">
        <f t="shared" si="13"/>
        <v>2350000</v>
      </c>
      <c r="H12" s="92">
        <f>(VLOOKUP(B12,'CC -5'!$B$8:$AS$21,37,0)+VLOOKUP(B12,'CC -5'!$B$8:$AS$21,38,0))</f>
        <v>0</v>
      </c>
      <c r="I12" s="145">
        <f t="shared" si="14"/>
        <v>0</v>
      </c>
      <c r="J12" s="93">
        <f t="shared" si="15"/>
        <v>25</v>
      </c>
      <c r="K12" s="39">
        <f t="shared" si="16"/>
        <v>2350000</v>
      </c>
      <c r="L12" s="90">
        <f t="shared" si="17"/>
        <v>375000</v>
      </c>
      <c r="M12" s="40">
        <f t="shared" si="18"/>
        <v>2725000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19"/>
        <v>2725000</v>
      </c>
      <c r="R12" s="39">
        <f>VLOOKUP(B12,DS,23,0)</f>
        <v>0</v>
      </c>
      <c r="S12" s="45">
        <f t="shared" si="20"/>
        <v>2725000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76" t="s">
        <v>25</v>
      </c>
      <c r="B14" s="276"/>
      <c r="C14" s="276"/>
      <c r="D14" s="276"/>
      <c r="E14" s="140">
        <f>SUM(E9:E12)</f>
        <v>7250000</v>
      </c>
      <c r="F14" s="140"/>
      <c r="G14" s="140">
        <f>SUM(G9:G12)</f>
        <v>7250000</v>
      </c>
      <c r="H14" s="140"/>
      <c r="I14" s="140">
        <f>SUM(I9:I12)</f>
        <v>0</v>
      </c>
      <c r="J14" s="140"/>
      <c r="K14" s="140">
        <f t="shared" ref="K14:S14" si="21">SUM(K9:K12)</f>
        <v>7250000</v>
      </c>
      <c r="L14" s="140">
        <f t="shared" si="21"/>
        <v>1125000</v>
      </c>
      <c r="M14" s="140">
        <f t="shared" si="21"/>
        <v>8375000</v>
      </c>
      <c r="N14" s="140">
        <f t="shared" si="21"/>
        <v>0</v>
      </c>
      <c r="O14" s="140">
        <f t="shared" si="21"/>
        <v>0</v>
      </c>
      <c r="P14" s="140">
        <f t="shared" si="21"/>
        <v>0</v>
      </c>
      <c r="Q14" s="140">
        <f t="shared" si="21"/>
        <v>8375000</v>
      </c>
      <c r="R14" s="140">
        <f t="shared" si="21"/>
        <v>0</v>
      </c>
      <c r="S14" s="140">
        <f t="shared" si="21"/>
        <v>8375000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162</v>
      </c>
      <c r="C16" s="89" t="str">
        <f t="shared" ref="C16" si="22">VLOOKUP(B16,DS,2,0)</f>
        <v>Bùi Trường Giang</v>
      </c>
      <c r="D16" s="116" t="str">
        <f t="shared" ref="D16" si="23">VLOOKUP(B16,DS,3,0)</f>
        <v>Thợ in</v>
      </c>
      <c r="E16" s="90">
        <f t="shared" ref="E16" si="24">VLOOKUP(B16,DS,4,0)</f>
        <v>1800000</v>
      </c>
      <c r="F16" s="92">
        <f>VLOOKUP(B16,'CC -5'!$B$8:$AS$21,36,0)</f>
        <v>25</v>
      </c>
      <c r="G16" s="145">
        <f t="shared" ref="G16" si="25">ROUND(E16/$U$2*F16,0)</f>
        <v>1800000</v>
      </c>
      <c r="H16" s="92">
        <f>(VLOOKUP(B16,'CC -5'!$B$8:$AS$21,37,0)+VLOOKUP(B16,'CC -5'!$B$8:$AS$21,38,0))</f>
        <v>0</v>
      </c>
      <c r="I16" s="145">
        <f t="shared" ref="I16" si="26">ROUND(E16/$U$2*H16,0)</f>
        <v>0</v>
      </c>
      <c r="J16" s="146">
        <f t="shared" ref="J16" si="27">F16+H16</f>
        <v>25</v>
      </c>
      <c r="K16" s="39">
        <f t="shared" ref="K16" si="28">G16+I16</f>
        <v>1800000</v>
      </c>
      <c r="L16" s="90">
        <f t="shared" ref="L16" si="29">+F16*15000</f>
        <v>375000</v>
      </c>
      <c r="M16" s="40">
        <f t="shared" ref="M16" si="30">K16+L16</f>
        <v>2175000</v>
      </c>
      <c r="N16" s="40">
        <f>IF(VLOOKUP(B16,DS,9,0)="x",'L - 5'!E16*$N$4,0)</f>
        <v>0</v>
      </c>
      <c r="O16" s="40">
        <f t="shared" ref="O16" si="31">IF(VLOOKUP(B16,DS,9,0)="x",E16*0.015,0)</f>
        <v>0</v>
      </c>
      <c r="P16" s="40">
        <f t="shared" ref="P16" si="32">IF(VLOOKUP(B16,DS,9,0)="x",E16*0.01,0)</f>
        <v>0</v>
      </c>
      <c r="Q16" s="39">
        <f>M16-SUM(N16:P16)</f>
        <v>2175000</v>
      </c>
      <c r="R16" s="39">
        <f t="shared" ref="R16" si="33">VLOOKUP(B16,DS,23,0)</f>
        <v>0</v>
      </c>
      <c r="S16" s="45">
        <f>Q16-R16</f>
        <v>2175000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163</v>
      </c>
      <c r="C17" s="89" t="str">
        <f t="shared" ref="C17:C18" si="34">VLOOKUP(B17,DS,2,0)</f>
        <v>Huỳnh Thanh Tùng</v>
      </c>
      <c r="D17" s="116" t="str">
        <f t="shared" ref="D17:D18" si="35">VLOOKUP(B17,DS,3,0)</f>
        <v>Thợ đóng - xả</v>
      </c>
      <c r="E17" s="90">
        <f t="shared" ref="E17:E18" si="36">VLOOKUP(B17,DS,4,0)</f>
        <v>1800000</v>
      </c>
      <c r="F17" s="92">
        <f>VLOOKUP(B17,'CC -5'!$B$8:$AS$21,36,0)</f>
        <v>25</v>
      </c>
      <c r="G17" s="145">
        <f t="shared" ref="G17:G18" si="37">ROUND(E17/$U$2*F17,0)</f>
        <v>1800000</v>
      </c>
      <c r="H17" s="92">
        <f>(VLOOKUP(B17,'CC -5'!$B$8:$AS$21,37,0)+VLOOKUP(B17,'CC -5'!$B$8:$AS$21,38,0))</f>
        <v>0</v>
      </c>
      <c r="I17" s="145">
        <f t="shared" ref="I17:I18" si="38">ROUND(E17/$U$2*H17,0)</f>
        <v>0</v>
      </c>
      <c r="J17" s="146">
        <f t="shared" ref="J17:J18" si="39">F17+H17</f>
        <v>25</v>
      </c>
      <c r="K17" s="39">
        <f t="shared" ref="K17:K18" si="40">G17+I17</f>
        <v>1800000</v>
      </c>
      <c r="L17" s="90">
        <f t="shared" ref="L17:L18" si="41">+F17*15000</f>
        <v>375000</v>
      </c>
      <c r="M17" s="40">
        <f t="shared" ref="M17:M18" si="42">K17+L17</f>
        <v>2175000</v>
      </c>
      <c r="N17" s="40">
        <f>IF(VLOOKUP(B17,DS,9,0)="x",'L - 5'!E17*$N$4,0)</f>
        <v>0</v>
      </c>
      <c r="O17" s="40">
        <f t="shared" ref="O17:O18" si="43">IF(VLOOKUP(B17,DS,9,0)="x",E17*0.015,0)</f>
        <v>0</v>
      </c>
      <c r="P17" s="40">
        <f t="shared" ref="P17:P18" si="44">IF(VLOOKUP(B17,DS,9,0)="x",E17*0.01,0)</f>
        <v>0</v>
      </c>
      <c r="Q17" s="39">
        <f t="shared" ref="Q17:Q18" si="45">M17-SUM(N17:P17)</f>
        <v>2175000</v>
      </c>
      <c r="R17" s="39">
        <f t="shared" ref="R17:R18" si="46">VLOOKUP(B17,DS,23,0)</f>
        <v>0</v>
      </c>
      <c r="S17" s="45">
        <f t="shared" ref="S17:S18" si="47">Q17-R17</f>
        <v>2175000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164</v>
      </c>
      <c r="C18" s="89" t="str">
        <f t="shared" si="34"/>
        <v>Danh Sà Phép</v>
      </c>
      <c r="D18" s="116" t="str">
        <f t="shared" si="35"/>
        <v>Công nhân</v>
      </c>
      <c r="E18" s="90">
        <f t="shared" si="36"/>
        <v>1500000</v>
      </c>
      <c r="F18" s="92">
        <f>VLOOKUP(B18,'CC -5'!$B$8:$AS$21,36,0)</f>
        <v>25</v>
      </c>
      <c r="G18" s="145">
        <f t="shared" si="37"/>
        <v>1500000</v>
      </c>
      <c r="H18" s="92">
        <f>(VLOOKUP(B18,'CC -5'!$B$8:$AS$21,37,0)+VLOOKUP(B18,'CC -5'!$B$8:$AS$21,38,0))</f>
        <v>0</v>
      </c>
      <c r="I18" s="145">
        <f t="shared" si="38"/>
        <v>0</v>
      </c>
      <c r="J18" s="146">
        <f t="shared" si="39"/>
        <v>25</v>
      </c>
      <c r="K18" s="39">
        <f t="shared" si="40"/>
        <v>1500000</v>
      </c>
      <c r="L18" s="90">
        <f t="shared" si="41"/>
        <v>375000</v>
      </c>
      <c r="M18" s="40">
        <f t="shared" si="42"/>
        <v>1875000</v>
      </c>
      <c r="N18" s="40">
        <f>IF(VLOOKUP(B18,DS,9,0)="x",'L - 5'!E18*$N$4,0)</f>
        <v>0</v>
      </c>
      <c r="O18" s="40">
        <f t="shared" si="43"/>
        <v>0</v>
      </c>
      <c r="P18" s="40">
        <f t="shared" si="44"/>
        <v>0</v>
      </c>
      <c r="Q18" s="39">
        <f t="shared" si="45"/>
        <v>1875000</v>
      </c>
      <c r="R18" s="39">
        <f t="shared" si="46"/>
        <v>0</v>
      </c>
      <c r="S18" s="45">
        <f t="shared" si="47"/>
        <v>1875000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76" t="s">
        <v>25</v>
      </c>
      <c r="B20" s="276"/>
      <c r="C20" s="276"/>
      <c r="D20" s="276"/>
      <c r="E20" s="140">
        <f>SUM(E15:E19)</f>
        <v>5100000</v>
      </c>
      <c r="F20" s="140"/>
      <c r="G20" s="140">
        <f t="shared" ref="G20:S20" si="48">SUM(G15:G19)</f>
        <v>5100000</v>
      </c>
      <c r="H20" s="140"/>
      <c r="I20" s="140">
        <f t="shared" si="48"/>
        <v>0</v>
      </c>
      <c r="J20" s="140"/>
      <c r="K20" s="140">
        <f t="shared" si="48"/>
        <v>5100000</v>
      </c>
      <c r="L20" s="140">
        <f t="shared" si="48"/>
        <v>1125000</v>
      </c>
      <c r="M20" s="140">
        <f t="shared" si="48"/>
        <v>6225000</v>
      </c>
      <c r="N20" s="140">
        <f t="shared" si="48"/>
        <v>0</v>
      </c>
      <c r="O20" s="140">
        <f t="shared" si="48"/>
        <v>0</v>
      </c>
      <c r="P20" s="140">
        <f t="shared" si="48"/>
        <v>0</v>
      </c>
      <c r="Q20" s="140">
        <f t="shared" si="48"/>
        <v>6225000</v>
      </c>
      <c r="R20" s="140">
        <f t="shared" si="48"/>
        <v>0</v>
      </c>
      <c r="S20" s="140">
        <f t="shared" si="48"/>
        <v>6225000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05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AF5:IK13 E5:I6 N5:P6 L5 L23 J6:K7 L7 A26:T59 U32:U59 N19:S19 V26:IK59 W10:W13 J19:L19 A60:IK65327 Q10:S13 AF15:IK15 V14:IK14 A10:B14 D14:T14 D20:T20" name="Range1"/>
    <protectedRange password="CC78" sqref="F7:H7" name="Range1_4"/>
    <protectedRange password="CC78" sqref="V23:IK24 S23:T24 N23:Q24 E23:I24" name="Range1_1_1"/>
    <protectedRange password="CC78" sqref="U1 W1:IK3 V4:IK4 B4:T4 X5:AE13 R2:S3 B1:Q3 U19:U31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Q16:S18 A16:B18 AF16:IK18 W16:W18" name="Range1_5"/>
    <protectedRange password="CC78" sqref="X16:AE18 U16:U18" name="Range1_2_3"/>
    <protectedRange password="CC78" sqref="V16:V18" name="Range1_1_3"/>
    <protectedRange password="CC78" sqref="K10:K13 K16:K18" name="Range1_6"/>
    <protectedRange password="CC78" sqref="A2:A3" name="Range1_2_1_3"/>
  </protectedRanges>
  <autoFilter ref="A7:AE10"/>
  <mergeCells count="24">
    <mergeCell ref="A14:D14"/>
    <mergeCell ref="A20:D20"/>
    <mergeCell ref="D1:Q1"/>
    <mergeCell ref="A5:A7"/>
    <mergeCell ref="L5:L7"/>
    <mergeCell ref="B5:B7"/>
    <mergeCell ref="F6:G6"/>
    <mergeCell ref="C5:C7"/>
    <mergeCell ref="D5:D7"/>
    <mergeCell ref="F5:K5"/>
    <mergeCell ref="K6:K7"/>
    <mergeCell ref="J6:J7"/>
    <mergeCell ref="H6:I6"/>
    <mergeCell ref="E5:E7"/>
    <mergeCell ref="S5:S7"/>
    <mergeCell ref="M5:M7"/>
    <mergeCell ref="R1:T1"/>
    <mergeCell ref="Q5:Q7"/>
    <mergeCell ref="N5:P5"/>
    <mergeCell ref="R5:R7"/>
    <mergeCell ref="O6:O7"/>
    <mergeCell ref="N6:N7"/>
    <mergeCell ref="P6:P7"/>
    <mergeCell ref="T5:T7"/>
  </mergeCells>
  <phoneticPr fontId="47" type="noConversion"/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A2" sqref="A2:A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2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06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44" t="s">
        <v>170</v>
      </c>
      <c r="AN1" s="245"/>
      <c r="AO1" s="245"/>
      <c r="AP1" s="245"/>
      <c r="AQ1" s="245"/>
      <c r="AR1" s="245"/>
      <c r="AS1" s="246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40695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2" t="s">
        <v>28</v>
      </c>
      <c r="B5" s="262" t="s">
        <v>3</v>
      </c>
      <c r="C5" s="262" t="s">
        <v>1</v>
      </c>
      <c r="D5" s="264" t="s">
        <v>29</v>
      </c>
      <c r="E5" s="262" t="s">
        <v>30</v>
      </c>
      <c r="F5" s="118">
        <f>+E4</f>
        <v>40695</v>
      </c>
      <c r="G5" s="118">
        <f t="shared" ref="G5:AJ5" si="0">F5+1</f>
        <v>40696</v>
      </c>
      <c r="H5" s="118">
        <f t="shared" si="0"/>
        <v>40697</v>
      </c>
      <c r="I5" s="118">
        <f t="shared" si="0"/>
        <v>40698</v>
      </c>
      <c r="J5" s="118">
        <f t="shared" si="0"/>
        <v>40699</v>
      </c>
      <c r="K5" s="118">
        <f t="shared" si="0"/>
        <v>40700</v>
      </c>
      <c r="L5" s="118">
        <f t="shared" si="0"/>
        <v>40701</v>
      </c>
      <c r="M5" s="118">
        <f t="shared" si="0"/>
        <v>40702</v>
      </c>
      <c r="N5" s="118">
        <f t="shared" si="0"/>
        <v>40703</v>
      </c>
      <c r="O5" s="118">
        <f t="shared" si="0"/>
        <v>40704</v>
      </c>
      <c r="P5" s="118">
        <f t="shared" si="0"/>
        <v>40705</v>
      </c>
      <c r="Q5" s="118">
        <f t="shared" si="0"/>
        <v>40706</v>
      </c>
      <c r="R5" s="118">
        <f t="shared" si="0"/>
        <v>40707</v>
      </c>
      <c r="S5" s="118">
        <f t="shared" si="0"/>
        <v>40708</v>
      </c>
      <c r="T5" s="118">
        <f t="shared" si="0"/>
        <v>40709</v>
      </c>
      <c r="U5" s="118">
        <f t="shared" si="0"/>
        <v>40710</v>
      </c>
      <c r="V5" s="118">
        <f t="shared" si="0"/>
        <v>40711</v>
      </c>
      <c r="W5" s="118">
        <f t="shared" si="0"/>
        <v>40712</v>
      </c>
      <c r="X5" s="118">
        <f t="shared" si="0"/>
        <v>40713</v>
      </c>
      <c r="Y5" s="118">
        <f t="shared" si="0"/>
        <v>40714</v>
      </c>
      <c r="Z5" s="118">
        <f t="shared" si="0"/>
        <v>40715</v>
      </c>
      <c r="AA5" s="118">
        <f t="shared" si="0"/>
        <v>40716</v>
      </c>
      <c r="AB5" s="118">
        <f t="shared" si="0"/>
        <v>40717</v>
      </c>
      <c r="AC5" s="118">
        <f t="shared" si="0"/>
        <v>40718</v>
      </c>
      <c r="AD5" s="118">
        <f t="shared" si="0"/>
        <v>40719</v>
      </c>
      <c r="AE5" s="118">
        <f t="shared" si="0"/>
        <v>40720</v>
      </c>
      <c r="AF5" s="118">
        <f t="shared" si="0"/>
        <v>40721</v>
      </c>
      <c r="AG5" s="118">
        <f t="shared" si="0"/>
        <v>40722</v>
      </c>
      <c r="AH5" s="118">
        <f>AG5+1</f>
        <v>40723</v>
      </c>
      <c r="AI5" s="118">
        <f t="shared" si="0"/>
        <v>40724</v>
      </c>
      <c r="AJ5" s="118">
        <f t="shared" si="0"/>
        <v>40725</v>
      </c>
      <c r="AK5" s="259" t="s">
        <v>15</v>
      </c>
      <c r="AL5" s="260"/>
      <c r="AM5" s="261"/>
      <c r="AN5" s="265" t="s">
        <v>45</v>
      </c>
      <c r="AO5" s="265" t="s">
        <v>41</v>
      </c>
      <c r="AP5" s="265" t="s">
        <v>42</v>
      </c>
      <c r="AQ5" s="265" t="s">
        <v>43</v>
      </c>
      <c r="AR5" s="265" t="s">
        <v>44</v>
      </c>
      <c r="AS5" s="264" t="s">
        <v>0</v>
      </c>
      <c r="AT5" s="26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63"/>
      <c r="B6" s="263"/>
      <c r="C6" s="263"/>
      <c r="D6" s="263"/>
      <c r="E6" s="263"/>
      <c r="F6" s="175" t="str">
        <f>CHOOSE(WEEKDAY(F5),"C.Nhật","T.Hai","T.Ba","T.Tư","T.Năm","T.Sáu","T.Bảy")</f>
        <v>T.Tư</v>
      </c>
      <c r="G6" s="175" t="str">
        <f t="shared" ref="G6:AJ6" si="1">CHOOSE(WEEKDAY(G5),"C.Nhật","T.Hai","T.Ba","T.Tư","T.Năm","T.Sáu","T.Bảy")</f>
        <v>T.Năm</v>
      </c>
      <c r="H6" s="175" t="str">
        <f t="shared" si="1"/>
        <v>T.Sáu</v>
      </c>
      <c r="I6" s="175" t="str">
        <f t="shared" si="1"/>
        <v>T.Bảy</v>
      </c>
      <c r="J6" s="175" t="str">
        <f t="shared" si="1"/>
        <v>C.Nhật</v>
      </c>
      <c r="K6" s="175" t="str">
        <f t="shared" si="1"/>
        <v>T.Hai</v>
      </c>
      <c r="L6" s="175" t="str">
        <f t="shared" si="1"/>
        <v>T.Ba</v>
      </c>
      <c r="M6" s="175" t="str">
        <f t="shared" si="1"/>
        <v>T.Tư</v>
      </c>
      <c r="N6" s="175" t="str">
        <f t="shared" si="1"/>
        <v>T.Năm</v>
      </c>
      <c r="O6" s="175" t="str">
        <f t="shared" si="1"/>
        <v>T.Sáu</v>
      </c>
      <c r="P6" s="175" t="str">
        <f t="shared" si="1"/>
        <v>T.Bảy</v>
      </c>
      <c r="Q6" s="175" t="str">
        <f t="shared" si="1"/>
        <v>C.Nhật</v>
      </c>
      <c r="R6" s="175" t="str">
        <f t="shared" si="1"/>
        <v>T.Hai</v>
      </c>
      <c r="S6" s="175" t="str">
        <f t="shared" si="1"/>
        <v>T.Ba</v>
      </c>
      <c r="T6" s="175" t="str">
        <f t="shared" si="1"/>
        <v>T.Tư</v>
      </c>
      <c r="U6" s="175" t="str">
        <f t="shared" si="1"/>
        <v>T.Năm</v>
      </c>
      <c r="V6" s="175" t="str">
        <f t="shared" si="1"/>
        <v>T.Sáu</v>
      </c>
      <c r="W6" s="175" t="str">
        <f t="shared" si="1"/>
        <v>T.Bảy</v>
      </c>
      <c r="X6" s="175" t="str">
        <f t="shared" si="1"/>
        <v>C.Nhật</v>
      </c>
      <c r="Y6" s="175" t="str">
        <f t="shared" si="1"/>
        <v>T.Hai</v>
      </c>
      <c r="Z6" s="175" t="str">
        <f t="shared" si="1"/>
        <v>T.Ba</v>
      </c>
      <c r="AA6" s="175" t="str">
        <f t="shared" si="1"/>
        <v>T.Tư</v>
      </c>
      <c r="AB6" s="175" t="str">
        <f t="shared" si="1"/>
        <v>T.Năm</v>
      </c>
      <c r="AC6" s="175" t="str">
        <f t="shared" si="1"/>
        <v>T.Sáu</v>
      </c>
      <c r="AD6" s="175" t="str">
        <f t="shared" si="1"/>
        <v>T.Bảy</v>
      </c>
      <c r="AE6" s="175" t="str">
        <f t="shared" si="1"/>
        <v>C.Nhật</v>
      </c>
      <c r="AF6" s="175" t="str">
        <f t="shared" si="1"/>
        <v>T.Hai</v>
      </c>
      <c r="AG6" s="175" t="str">
        <f t="shared" si="1"/>
        <v>T.Ba</v>
      </c>
      <c r="AH6" s="175" t="str">
        <f t="shared" si="1"/>
        <v>T.Tư</v>
      </c>
      <c r="AI6" s="175" t="str">
        <f t="shared" si="1"/>
        <v>T.Năm</v>
      </c>
      <c r="AJ6" s="175" t="str">
        <f t="shared" si="1"/>
        <v>T.Sáu</v>
      </c>
      <c r="AK6" s="176" t="s">
        <v>16</v>
      </c>
      <c r="AL6" s="176" t="s">
        <v>31</v>
      </c>
      <c r="AM6" s="177" t="s">
        <v>17</v>
      </c>
      <c r="AN6" s="266"/>
      <c r="AO6" s="266"/>
      <c r="AP6" s="266"/>
      <c r="AQ6" s="266"/>
      <c r="AR6" s="266"/>
      <c r="AS6" s="263"/>
      <c r="AT6" s="26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19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171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53">
        <v>1</v>
      </c>
      <c r="B9" s="253" t="s">
        <v>160</v>
      </c>
      <c r="C9" s="255" t="str">
        <f>VLOOKUP(B9,DS,2,0)</f>
        <v>Lê Kim Ngọc Thảo</v>
      </c>
      <c r="D9" s="257" t="str">
        <f>VLOOKUP(B9,DS,3,0)</f>
        <v>Văn Phòng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/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>
        <v>8</v>
      </c>
      <c r="Q9" s="143"/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>
        <v>8</v>
      </c>
      <c r="X9" s="143"/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>
        <v>8</v>
      </c>
      <c r="AE9" s="143"/>
      <c r="AF9" s="143">
        <v>8</v>
      </c>
      <c r="AG9" s="143">
        <v>8</v>
      </c>
      <c r="AH9" s="143">
        <v>8</v>
      </c>
      <c r="AI9" s="143">
        <v>8</v>
      </c>
      <c r="AJ9" s="143"/>
      <c r="AK9" s="247">
        <f>((SUM(F9:AJ9))/8)-(SUMIF($F$6:$AJ$6,"C.Nhật",F9:AJ9)/8)</f>
        <v>26</v>
      </c>
      <c r="AL9" s="247">
        <f>SUM(F10:AJ10)/8*1.5</f>
        <v>0</v>
      </c>
      <c r="AM9" s="249">
        <f>SUMIF($F$6:$AJ$6,"C.Nhật",$F9:$AJ10)/8*2</f>
        <v>0</v>
      </c>
      <c r="AN9" s="240">
        <f>SUM(AK9:AM10)</f>
        <v>26</v>
      </c>
      <c r="AO9" s="251">
        <v>0</v>
      </c>
      <c r="AP9" s="240"/>
      <c r="AQ9" s="240"/>
      <c r="AR9" s="240"/>
      <c r="AS9" s="242"/>
      <c r="AT9" s="19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4"/>
      <c r="B10" s="254"/>
      <c r="C10" s="256"/>
      <c r="D10" s="258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8"/>
      <c r="AL10" s="248"/>
      <c r="AM10" s="250"/>
      <c r="AN10" s="241"/>
      <c r="AO10" s="252"/>
      <c r="AP10" s="241"/>
      <c r="AQ10" s="241"/>
      <c r="AR10" s="241"/>
      <c r="AS10" s="243"/>
      <c r="AT10" s="19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3">
        <f>A7+1</f>
        <v>2</v>
      </c>
      <c r="B11" s="253" t="s">
        <v>161</v>
      </c>
      <c r="C11" s="255" t="str">
        <f>VLOOKUP(B11,DS,2,0)</f>
        <v>Lê Hoàng Diệu</v>
      </c>
      <c r="D11" s="257" t="str">
        <f>VLOOKUP(B11,DS,3,0)</f>
        <v>Kinh Doanh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/>
      <c r="K11" s="143">
        <v>8</v>
      </c>
      <c r="L11" s="143">
        <v>8</v>
      </c>
      <c r="M11" s="143">
        <v>8</v>
      </c>
      <c r="N11" s="143">
        <v>8</v>
      </c>
      <c r="O11" s="143">
        <v>8</v>
      </c>
      <c r="P11" s="143">
        <v>8</v>
      </c>
      <c r="Q11" s="143"/>
      <c r="R11" s="143">
        <v>8</v>
      </c>
      <c r="S11" s="143">
        <v>8</v>
      </c>
      <c r="T11" s="143">
        <v>8</v>
      </c>
      <c r="U11" s="143">
        <v>8</v>
      </c>
      <c r="V11" s="143">
        <v>8</v>
      </c>
      <c r="W11" s="143">
        <v>8</v>
      </c>
      <c r="X11" s="143"/>
      <c r="Y11" s="143">
        <v>8</v>
      </c>
      <c r="Z11" s="143">
        <v>8</v>
      </c>
      <c r="AA11" s="143">
        <v>8</v>
      </c>
      <c r="AB11" s="143">
        <v>8</v>
      </c>
      <c r="AC11" s="143">
        <v>8</v>
      </c>
      <c r="AD11" s="143">
        <v>8</v>
      </c>
      <c r="AE11" s="143"/>
      <c r="AF11" s="143">
        <v>8</v>
      </c>
      <c r="AG11" s="143">
        <v>8</v>
      </c>
      <c r="AH11" s="143">
        <v>8</v>
      </c>
      <c r="AI11" s="143">
        <v>8</v>
      </c>
      <c r="AJ11" s="143"/>
      <c r="AK11" s="247">
        <f t="shared" ref="AK11" si="2">((SUM(F11:AJ11))/8)-(SUMIF($F$6:$AJ$6,"C.Nhật",F11:AJ11)/8)</f>
        <v>26</v>
      </c>
      <c r="AL11" s="247">
        <f t="shared" ref="AL11" si="3">SUM(F12:AJ12)/8*1.5</f>
        <v>0</v>
      </c>
      <c r="AM11" s="249">
        <f t="shared" ref="AM11:AM13" si="4">SUMIF($F$6:$AJ$6,"C.Nhật",$F11:$AJ12)/8*2</f>
        <v>0</v>
      </c>
      <c r="AN11" s="240">
        <f t="shared" ref="AN11" si="5">SUM(AK11:AM12)</f>
        <v>26</v>
      </c>
      <c r="AO11" s="251">
        <v>0</v>
      </c>
      <c r="AP11" s="240"/>
      <c r="AQ11" s="240"/>
      <c r="AR11" s="240"/>
      <c r="AS11" s="242"/>
      <c r="AT11" s="198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4"/>
      <c r="B12" s="254"/>
      <c r="C12" s="256"/>
      <c r="D12" s="258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8"/>
      <c r="AL12" s="248"/>
      <c r="AM12" s="250"/>
      <c r="AN12" s="241"/>
      <c r="AO12" s="252"/>
      <c r="AP12" s="241"/>
      <c r="AQ12" s="241"/>
      <c r="AR12" s="241"/>
      <c r="AS12" s="243"/>
      <c r="AT12" s="198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3">
        <f>A9+1</f>
        <v>2</v>
      </c>
      <c r="B13" s="253" t="s">
        <v>168</v>
      </c>
      <c r="C13" s="255" t="str">
        <f>VLOOKUP(B13,DS,2,0)</f>
        <v>Trần Hòa Toản</v>
      </c>
      <c r="D13" s="257" t="str">
        <f>VLOOKUP(B13,DS,3,0)</f>
        <v>Tài xế</v>
      </c>
      <c r="E13" s="68" t="s">
        <v>32</v>
      </c>
      <c r="F13" s="143">
        <v>8</v>
      </c>
      <c r="G13" s="143">
        <v>8</v>
      </c>
      <c r="H13" s="143">
        <v>8</v>
      </c>
      <c r="I13" s="143">
        <v>8</v>
      </c>
      <c r="J13" s="143"/>
      <c r="K13" s="143">
        <v>8</v>
      </c>
      <c r="L13" s="143">
        <v>8</v>
      </c>
      <c r="M13" s="143">
        <v>8</v>
      </c>
      <c r="N13" s="143">
        <v>8</v>
      </c>
      <c r="O13" s="143">
        <v>8</v>
      </c>
      <c r="P13" s="143">
        <v>8</v>
      </c>
      <c r="Q13" s="143"/>
      <c r="R13" s="143">
        <v>8</v>
      </c>
      <c r="S13" s="143">
        <v>8</v>
      </c>
      <c r="T13" s="143">
        <v>8</v>
      </c>
      <c r="U13" s="143">
        <v>8</v>
      </c>
      <c r="V13" s="143">
        <v>8</v>
      </c>
      <c r="W13" s="143">
        <v>8</v>
      </c>
      <c r="X13" s="143"/>
      <c r="Y13" s="143">
        <v>8</v>
      </c>
      <c r="Z13" s="143">
        <v>8</v>
      </c>
      <c r="AA13" s="143">
        <v>8</v>
      </c>
      <c r="AB13" s="143">
        <v>8</v>
      </c>
      <c r="AC13" s="143">
        <v>8</v>
      </c>
      <c r="AD13" s="143">
        <v>8</v>
      </c>
      <c r="AE13" s="143"/>
      <c r="AF13" s="143">
        <v>8</v>
      </c>
      <c r="AG13" s="143">
        <v>8</v>
      </c>
      <c r="AH13" s="143">
        <v>8</v>
      </c>
      <c r="AI13" s="143">
        <v>8</v>
      </c>
      <c r="AJ13" s="143"/>
      <c r="AK13" s="247">
        <f t="shared" ref="AK13" si="6">((SUM(F13:AJ13))/8)-(SUMIF($F$6:$AJ$6,"C.Nhật",F13:AJ13)/8)</f>
        <v>26</v>
      </c>
      <c r="AL13" s="247">
        <f t="shared" ref="AL13" si="7">SUM(F14:AJ14)/8*1.5</f>
        <v>0</v>
      </c>
      <c r="AM13" s="249">
        <f t="shared" si="4"/>
        <v>0</v>
      </c>
      <c r="AN13" s="240">
        <f t="shared" ref="AN13" si="8">SUM(AK13:AM14)</f>
        <v>26</v>
      </c>
      <c r="AO13" s="251">
        <v>0</v>
      </c>
      <c r="AP13" s="240"/>
      <c r="AQ13" s="240"/>
      <c r="AR13" s="240"/>
      <c r="AS13" s="242"/>
      <c r="AT13" s="194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4"/>
      <c r="B14" s="254"/>
      <c r="C14" s="256"/>
      <c r="D14" s="258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48"/>
      <c r="AL14" s="248"/>
      <c r="AM14" s="250"/>
      <c r="AN14" s="241"/>
      <c r="AO14" s="252"/>
      <c r="AP14" s="241"/>
      <c r="AQ14" s="241"/>
      <c r="AR14" s="241"/>
      <c r="AS14" s="243"/>
      <c r="AT14" s="194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159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53">
        <v>1</v>
      </c>
      <c r="B16" s="253" t="s">
        <v>162</v>
      </c>
      <c r="C16" s="255" t="str">
        <f>VLOOKUP(B16,DS,2,0)</f>
        <v>Bùi Trường Giang</v>
      </c>
      <c r="D16" s="257" t="str">
        <f>VLOOKUP(B16,DS,3,0)</f>
        <v>Thợ in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/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>
        <v>8</v>
      </c>
      <c r="Q16" s="143"/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>
        <v>8</v>
      </c>
      <c r="X16" s="143"/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>
        <v>8</v>
      </c>
      <c r="AE16" s="143"/>
      <c r="AF16" s="143">
        <v>8</v>
      </c>
      <c r="AG16" s="143">
        <v>8</v>
      </c>
      <c r="AH16" s="143">
        <v>8</v>
      </c>
      <c r="AI16" s="143">
        <v>8</v>
      </c>
      <c r="AJ16" s="143"/>
      <c r="AK16" s="247">
        <f t="shared" ref="AK16" si="9">((SUM(F16:AJ16))/8)-(SUMIF($F$6:$AJ$6,"C.Nhật",F16:AJ16)/8)</f>
        <v>26</v>
      </c>
      <c r="AL16" s="247">
        <f t="shared" ref="AL16" si="10">SUM(F17:AJ17)/8*1.5</f>
        <v>0</v>
      </c>
      <c r="AM16" s="249">
        <f>SUMIF($F$6:$AJ$6,"C.Nhật",$F16:$AJ17)/8*2</f>
        <v>0</v>
      </c>
      <c r="AN16" s="240">
        <f>SUM(AK16:AM17)</f>
        <v>26</v>
      </c>
      <c r="AO16" s="251">
        <v>0</v>
      </c>
      <c r="AP16" s="240"/>
      <c r="AQ16" s="240"/>
      <c r="AR16" s="240"/>
      <c r="AS16" s="242"/>
      <c r="AT16" s="194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4"/>
      <c r="B17" s="254"/>
      <c r="C17" s="256"/>
      <c r="D17" s="258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8"/>
      <c r="AL17" s="248"/>
      <c r="AM17" s="250"/>
      <c r="AN17" s="241"/>
      <c r="AO17" s="252"/>
      <c r="AP17" s="241"/>
      <c r="AQ17" s="241"/>
      <c r="AR17" s="241"/>
      <c r="AS17" s="243"/>
      <c r="AT17" s="194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3">
        <f>A16+1</f>
        <v>2</v>
      </c>
      <c r="B18" s="253" t="s">
        <v>163</v>
      </c>
      <c r="C18" s="255" t="str">
        <f>VLOOKUP(B18,DS,2,0)</f>
        <v>Huỳnh Thanh Tùng</v>
      </c>
      <c r="D18" s="257" t="str">
        <f>VLOOKUP(B18,DS,3,0)</f>
        <v>Thợ đóng - xả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/>
      <c r="K18" s="143">
        <v>8</v>
      </c>
      <c r="L18" s="143">
        <v>8</v>
      </c>
      <c r="M18" s="143">
        <v>8</v>
      </c>
      <c r="N18" s="143">
        <v>8</v>
      </c>
      <c r="O18" s="143">
        <v>8</v>
      </c>
      <c r="P18" s="143">
        <v>8</v>
      </c>
      <c r="Q18" s="143"/>
      <c r="R18" s="143">
        <v>8</v>
      </c>
      <c r="S18" s="143">
        <v>8</v>
      </c>
      <c r="T18" s="143">
        <v>8</v>
      </c>
      <c r="U18" s="143">
        <v>8</v>
      </c>
      <c r="V18" s="143">
        <v>8</v>
      </c>
      <c r="W18" s="143">
        <v>8</v>
      </c>
      <c r="X18" s="143"/>
      <c r="Y18" s="143">
        <v>8</v>
      </c>
      <c r="Z18" s="143">
        <v>8</v>
      </c>
      <c r="AA18" s="143">
        <v>8</v>
      </c>
      <c r="AB18" s="143">
        <v>8</v>
      </c>
      <c r="AC18" s="143">
        <v>8</v>
      </c>
      <c r="AD18" s="143">
        <v>8</v>
      </c>
      <c r="AE18" s="143"/>
      <c r="AF18" s="143">
        <v>8</v>
      </c>
      <c r="AG18" s="143">
        <v>8</v>
      </c>
      <c r="AH18" s="143">
        <v>8</v>
      </c>
      <c r="AI18" s="143">
        <v>8</v>
      </c>
      <c r="AJ18" s="143"/>
      <c r="AK18" s="247">
        <f t="shared" ref="AK18" si="11">((SUM(F18:AJ18))/8)-(SUMIF($F$6:$AJ$6,"C.Nhật",F18:AJ18)/8)</f>
        <v>26</v>
      </c>
      <c r="AL18" s="247">
        <f t="shared" ref="AL18" si="12">SUM(F19:AJ19)/8*1.5</f>
        <v>0</v>
      </c>
      <c r="AM18" s="249">
        <f>SUMIF($F$6:$AJ$6,"C.Nhật",$F18:$AJ19)/8*2</f>
        <v>0</v>
      </c>
      <c r="AN18" s="240">
        <f t="shared" ref="AN18" si="13">SUM(AK18:AM19)</f>
        <v>26</v>
      </c>
      <c r="AO18" s="251">
        <v>0</v>
      </c>
      <c r="AP18" s="240"/>
      <c r="AQ18" s="240"/>
      <c r="AR18" s="240"/>
      <c r="AS18" s="242"/>
      <c r="AT18" s="194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4"/>
      <c r="B19" s="254"/>
      <c r="C19" s="256"/>
      <c r="D19" s="258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8"/>
      <c r="AL19" s="248"/>
      <c r="AM19" s="250"/>
      <c r="AN19" s="241"/>
      <c r="AO19" s="252"/>
      <c r="AP19" s="241"/>
      <c r="AQ19" s="241"/>
      <c r="AR19" s="241"/>
      <c r="AS19" s="243"/>
      <c r="AT19" s="194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3">
        <f t="shared" ref="A20" si="14">A18+1</f>
        <v>3</v>
      </c>
      <c r="B20" s="253" t="s">
        <v>164</v>
      </c>
      <c r="C20" s="255" t="str">
        <f>VLOOKUP(B20,DS,2,0)</f>
        <v>Danh Sà Phép</v>
      </c>
      <c r="D20" s="257" t="str">
        <f>VLOOKUP(B20,DS,3,0)</f>
        <v>Công nhân</v>
      </c>
      <c r="E20" s="68" t="s">
        <v>32</v>
      </c>
      <c r="F20" s="143">
        <v>8</v>
      </c>
      <c r="G20" s="143">
        <v>8</v>
      </c>
      <c r="H20" s="143">
        <v>8</v>
      </c>
      <c r="I20" s="143">
        <v>8</v>
      </c>
      <c r="J20" s="143"/>
      <c r="K20" s="143">
        <v>8</v>
      </c>
      <c r="L20" s="143">
        <v>8</v>
      </c>
      <c r="M20" s="143">
        <v>8</v>
      </c>
      <c r="N20" s="143">
        <v>8</v>
      </c>
      <c r="O20" s="143">
        <v>8</v>
      </c>
      <c r="P20" s="143">
        <v>8</v>
      </c>
      <c r="Q20" s="143"/>
      <c r="R20" s="143">
        <v>8</v>
      </c>
      <c r="S20" s="143">
        <v>8</v>
      </c>
      <c r="T20" s="143">
        <v>8</v>
      </c>
      <c r="U20" s="143">
        <v>8</v>
      </c>
      <c r="V20" s="143">
        <v>8</v>
      </c>
      <c r="W20" s="143">
        <v>8</v>
      </c>
      <c r="X20" s="143"/>
      <c r="Y20" s="143">
        <v>8</v>
      </c>
      <c r="Z20" s="143">
        <v>8</v>
      </c>
      <c r="AA20" s="143">
        <v>8</v>
      </c>
      <c r="AB20" s="143">
        <v>8</v>
      </c>
      <c r="AC20" s="143">
        <v>8</v>
      </c>
      <c r="AD20" s="143">
        <v>8</v>
      </c>
      <c r="AE20" s="143"/>
      <c r="AF20" s="143">
        <v>8</v>
      </c>
      <c r="AG20" s="143">
        <v>8</v>
      </c>
      <c r="AH20" s="143">
        <v>8</v>
      </c>
      <c r="AI20" s="143">
        <v>8</v>
      </c>
      <c r="AJ20" s="143"/>
      <c r="AK20" s="247">
        <f t="shared" ref="AK20" si="15">((SUM(F20:AJ20))/8)-(SUMIF($F$6:$AJ$6,"C.Nhật",F20:AJ20)/8)</f>
        <v>26</v>
      </c>
      <c r="AL20" s="247">
        <f t="shared" ref="AL20" si="16">SUM(F21:AJ21)/8*1.5</f>
        <v>0</v>
      </c>
      <c r="AM20" s="249">
        <f>SUMIF($F$6:$AJ$6,"C.Nhật",$F20:$AJ21)/8*2</f>
        <v>0</v>
      </c>
      <c r="AN20" s="240">
        <f t="shared" ref="AN20" si="17">SUM(AK20:AM21)</f>
        <v>26</v>
      </c>
      <c r="AO20" s="251">
        <v>0</v>
      </c>
      <c r="AP20" s="240"/>
      <c r="AQ20" s="240"/>
      <c r="AR20" s="240"/>
      <c r="AS20" s="242"/>
      <c r="AT20" s="194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4"/>
      <c r="B21" s="254"/>
      <c r="C21" s="256"/>
      <c r="D21" s="258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8"/>
      <c r="AL21" s="248"/>
      <c r="AM21" s="250"/>
      <c r="AN21" s="241"/>
      <c r="AO21" s="252"/>
      <c r="AP21" s="241"/>
      <c r="AQ21" s="241"/>
      <c r="AR21" s="241"/>
      <c r="AS21" s="243"/>
      <c r="AT21" s="194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192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192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3:3" ht="15" customHeight="1">
      <c r="C33" s="2" t="s">
        <v>49</v>
      </c>
    </row>
    <row r="34" spans="3:3" ht="15" customHeight="1">
      <c r="C34" s="2" t="s">
        <v>50</v>
      </c>
    </row>
    <row r="35" spans="3:3" ht="15" customHeight="1">
      <c r="C35" s="2" t="s">
        <v>51</v>
      </c>
    </row>
    <row r="36" spans="3:3" ht="15" customHeight="1">
      <c r="C36" s="2" t="s">
        <v>52</v>
      </c>
    </row>
    <row r="37" spans="3:3" ht="15" customHeight="1">
      <c r="C37" s="2" t="s">
        <v>53</v>
      </c>
    </row>
    <row r="38" spans="3:3" ht="15" customHeight="1">
      <c r="C38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C16:E21 A16:A21" name="Range1_6_2"/>
    <protectedRange password="CC78" sqref="B16:B21" name="Range1_4_2"/>
  </protectedRanges>
  <mergeCells count="92">
    <mergeCell ref="AP11:AP12"/>
    <mergeCell ref="AQ11:AQ12"/>
    <mergeCell ref="AR11:AR12"/>
    <mergeCell ref="AS11:AS12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S18:AS19"/>
    <mergeCell ref="A20:A21"/>
    <mergeCell ref="B20:B21"/>
    <mergeCell ref="C20:C21"/>
    <mergeCell ref="D20:D21"/>
    <mergeCell ref="AK20:AK21"/>
    <mergeCell ref="AL20:AL21"/>
    <mergeCell ref="AS20:AS21"/>
    <mergeCell ref="AM20:AM21"/>
    <mergeCell ref="AN20:AN21"/>
    <mergeCell ref="AO20:AO21"/>
    <mergeCell ref="AP20:AP21"/>
    <mergeCell ref="AQ20:AQ21"/>
    <mergeCell ref="AR20:AR21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Q13:AQ14"/>
    <mergeCell ref="AR13:AR14"/>
    <mergeCell ref="AS13:AS14"/>
    <mergeCell ref="A16:A17"/>
    <mergeCell ref="B16:B17"/>
    <mergeCell ref="C16:C17"/>
    <mergeCell ref="D16:D17"/>
    <mergeCell ref="AK16:AK17"/>
    <mergeCell ref="AL16:AL17"/>
    <mergeCell ref="AS16:AS17"/>
    <mergeCell ref="AM16:AM17"/>
    <mergeCell ref="AN16:AN17"/>
    <mergeCell ref="AO16:AO17"/>
    <mergeCell ref="AP16:AP17"/>
    <mergeCell ref="AQ16:AQ17"/>
    <mergeCell ref="AR16:AR17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3:A14"/>
    <mergeCell ref="B13:B14"/>
    <mergeCell ref="C13:C14"/>
    <mergeCell ref="D13:D14"/>
    <mergeCell ref="AK13:AK14"/>
    <mergeCell ref="AN13:AN14"/>
    <mergeCell ref="AO13:AO14"/>
    <mergeCell ref="AM9:AM10"/>
    <mergeCell ref="AN9:AN10"/>
    <mergeCell ref="AO9:AO10"/>
    <mergeCell ref="AP13:AP14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L13:AL14"/>
    <mergeCell ref="AM13:AM14"/>
  </mergeCells>
  <conditionalFormatting sqref="F5:AJ6 F9:AJ10 F16:AJ21 F13:AJ14">
    <cfRule type="expression" dxfId="91" priority="12" stopIfTrue="1">
      <formula>IF(WEEKDAY(F$5)=1,TRUE,FALSE)</formula>
    </cfRule>
  </conditionalFormatting>
  <conditionalFormatting sqref="F9:AJ10 F13:AJ14">
    <cfRule type="expression" dxfId="90" priority="11" stopIfTrue="1">
      <formula>IF(WEEKDAY(F$5)=1,TRUE,FALSE)</formula>
    </cfRule>
  </conditionalFormatting>
  <conditionalFormatting sqref="F16:AJ21">
    <cfRule type="expression" dxfId="89" priority="10" stopIfTrue="1">
      <formula>IF(WEEKDAY(F$5)=1,TRUE,FALSE)</formula>
    </cfRule>
  </conditionalFormatting>
  <conditionalFormatting sqref="F16:AJ21">
    <cfRule type="expression" dxfId="88" priority="9" stopIfTrue="1">
      <formula>IF(WEEKDAY(F$5)=1,TRUE,FALSE)</formula>
    </cfRule>
  </conditionalFormatting>
  <conditionalFormatting sqref="F16:AI21">
    <cfRule type="expression" dxfId="87" priority="8" stopIfTrue="1">
      <formula>IF(WEEKDAY(F$5)=1,TRUE,FALSE)</formula>
    </cfRule>
  </conditionalFormatting>
  <conditionalFormatting sqref="F16:AJ21">
    <cfRule type="expression" dxfId="86" priority="7" stopIfTrue="1">
      <formula>IF(WEEKDAY(F$5)=1,TRUE,FALSE)</formula>
    </cfRule>
  </conditionalFormatting>
  <conditionalFormatting sqref="F16:AI21">
    <cfRule type="expression" dxfId="85" priority="6" stopIfTrue="1">
      <formula>IF(WEEKDAY(F$5)=1,TRUE,FALSE)</formula>
    </cfRule>
  </conditionalFormatting>
  <conditionalFormatting sqref="F16:AJ21">
    <cfRule type="expression" dxfId="84" priority="5" stopIfTrue="1">
      <formula>IF(WEEKDAY(F$5)=1,TRUE,FALSE)</formula>
    </cfRule>
  </conditionalFormatting>
  <conditionalFormatting sqref="F16:AJ21">
    <cfRule type="expression" dxfId="83" priority="4" stopIfTrue="1">
      <formula>IF(WEEKDAY(F$5)=1,TRUE,FALSE)</formula>
    </cfRule>
  </conditionalFormatting>
  <conditionalFormatting sqref="F16:AJ21">
    <cfRule type="expression" dxfId="82" priority="3" stopIfTrue="1">
      <formula>IF(WEEKDAY(F$5)=1,TRUE,FALSE)</formula>
    </cfRule>
  </conditionalFormatting>
  <conditionalFormatting sqref="F11:AJ12">
    <cfRule type="expression" dxfId="81" priority="2" stopIfTrue="1">
      <formula>IF(WEEKDAY(F$5)=1,TRUE,FALSE)</formula>
    </cfRule>
  </conditionalFormatting>
  <conditionalFormatting sqref="F11:AJ12">
    <cfRule type="expression" dxfId="8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D9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S20" activeCellId="1" sqref="S14 S20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195"/>
      <c r="C1" s="195"/>
      <c r="D1" s="277" t="str">
        <f>"BẢNG THANH TOÁN LƯƠNG THÁNG"&amp;" "&amp;TEXT($E$4,"mm")&amp;" / "&amp;TEXT($E$4,"yyyy")</f>
        <v>BẢNG THANH TOÁN LƯƠNG THÁNG 06 / 2011</v>
      </c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8"/>
      <c r="R1" s="271" t="s">
        <v>170</v>
      </c>
      <c r="S1" s="272"/>
      <c r="T1" s="273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195"/>
      <c r="C2" s="195"/>
      <c r="D2" s="195"/>
      <c r="E2" s="81"/>
      <c r="F2" s="195"/>
      <c r="G2" s="195"/>
      <c r="H2" s="195"/>
      <c r="I2" s="195"/>
      <c r="J2" s="82"/>
      <c r="K2" s="195"/>
      <c r="L2" s="195"/>
      <c r="M2" s="195"/>
      <c r="N2" s="195"/>
      <c r="O2" s="195"/>
      <c r="P2" s="195"/>
      <c r="Q2" s="195"/>
      <c r="R2" s="195"/>
      <c r="S2" s="195"/>
      <c r="T2" s="59"/>
      <c r="U2" s="80"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195"/>
      <c r="C3" s="195"/>
      <c r="D3" s="195"/>
      <c r="E3" s="81"/>
      <c r="F3" s="195"/>
      <c r="G3" s="195"/>
      <c r="H3" s="195"/>
      <c r="I3" s="195"/>
      <c r="J3" s="82"/>
      <c r="K3" s="195"/>
      <c r="L3" s="195"/>
      <c r="M3" s="195"/>
      <c r="N3" s="195"/>
      <c r="O3" s="195"/>
      <c r="P3" s="195"/>
      <c r="Q3" s="195"/>
      <c r="R3" s="195"/>
      <c r="S3" s="195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-6'!$E$4</f>
        <v>40695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9" t="s">
        <v>19</v>
      </c>
      <c r="B5" s="279" t="s">
        <v>20</v>
      </c>
      <c r="C5" s="233" t="s">
        <v>1</v>
      </c>
      <c r="D5" s="233" t="s">
        <v>2</v>
      </c>
      <c r="E5" s="228" t="s">
        <v>56</v>
      </c>
      <c r="F5" s="281" t="s">
        <v>26</v>
      </c>
      <c r="G5" s="283"/>
      <c r="H5" s="283"/>
      <c r="I5" s="283"/>
      <c r="J5" s="283"/>
      <c r="K5" s="282"/>
      <c r="L5" s="268" t="s">
        <v>57</v>
      </c>
      <c r="M5" s="268" t="s">
        <v>5</v>
      </c>
      <c r="N5" s="233" t="s">
        <v>6</v>
      </c>
      <c r="O5" s="233"/>
      <c r="P5" s="233"/>
      <c r="Q5" s="268" t="s">
        <v>7</v>
      </c>
      <c r="R5" s="268" t="s">
        <v>8</v>
      </c>
      <c r="S5" s="268" t="s">
        <v>9</v>
      </c>
      <c r="T5" s="22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80"/>
      <c r="B6" s="280"/>
      <c r="C6" s="233"/>
      <c r="D6" s="233"/>
      <c r="E6" s="228"/>
      <c r="F6" s="281" t="s">
        <v>59</v>
      </c>
      <c r="G6" s="282"/>
      <c r="H6" s="281" t="s">
        <v>158</v>
      </c>
      <c r="I6" s="283"/>
      <c r="J6" s="284" t="s">
        <v>27</v>
      </c>
      <c r="K6" s="268" t="s">
        <v>4</v>
      </c>
      <c r="L6" s="269"/>
      <c r="M6" s="269"/>
      <c r="N6" s="274" t="s">
        <v>12</v>
      </c>
      <c r="O6" s="268" t="s">
        <v>13</v>
      </c>
      <c r="P6" s="268" t="s">
        <v>34</v>
      </c>
      <c r="Q6" s="269"/>
      <c r="R6" s="269"/>
      <c r="S6" s="269"/>
      <c r="T6" s="23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80"/>
      <c r="B7" s="280"/>
      <c r="C7" s="268"/>
      <c r="D7" s="268"/>
      <c r="E7" s="228"/>
      <c r="F7" s="196" t="s">
        <v>40</v>
      </c>
      <c r="G7" s="193" t="s">
        <v>18</v>
      </c>
      <c r="H7" s="196" t="s">
        <v>40</v>
      </c>
      <c r="I7" s="128" t="s">
        <v>18</v>
      </c>
      <c r="J7" s="285"/>
      <c r="K7" s="269"/>
      <c r="L7" s="270"/>
      <c r="M7" s="270"/>
      <c r="N7" s="275"/>
      <c r="O7" s="269"/>
      <c r="P7" s="269"/>
      <c r="Q7" s="269"/>
      <c r="R7" s="269"/>
      <c r="S7" s="269"/>
      <c r="T7" s="23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171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160</v>
      </c>
      <c r="C10" s="89" t="str">
        <f t="shared" ref="C10" si="0">VLOOKUP(B10,DS,2,0)</f>
        <v>Lê Kim Ngọc Thảo</v>
      </c>
      <c r="D10" s="116" t="str">
        <f t="shared" ref="D10" si="1">VLOOKUP(B10,DS,3,0)</f>
        <v>Văn Phòng</v>
      </c>
      <c r="E10" s="90">
        <f t="shared" ref="E10" si="2">VLOOKUP(B10,DS,4,0)</f>
        <v>2500000</v>
      </c>
      <c r="F10" s="92">
        <f>VLOOKUP(B10,'CC -6'!$B$8:$AS$21,36,0)</f>
        <v>26</v>
      </c>
      <c r="G10" s="145">
        <f t="shared" ref="G10" si="3">ROUND(E10/$U$2*F10,0)</f>
        <v>2500000</v>
      </c>
      <c r="H10" s="92">
        <f>(VLOOKUP(B10,'CC -6'!$B$8:$AS$21,37,0)+VLOOKUP(B10,'CC -6'!$B$8:$AS$21,38,0))</f>
        <v>0</v>
      </c>
      <c r="I10" s="145">
        <f t="shared" ref="I10" si="4">ROUND(E10/$U$2*H10,0)</f>
        <v>0</v>
      </c>
      <c r="J10" s="93">
        <f t="shared" ref="J10" si="5">F10+H10</f>
        <v>26</v>
      </c>
      <c r="K10" s="39">
        <f>G10+I10</f>
        <v>2500000</v>
      </c>
      <c r="L10" s="90">
        <f t="shared" ref="L10" si="6">+F10*15000</f>
        <v>390000</v>
      </c>
      <c r="M10" s="40">
        <f t="shared" ref="M10" si="7">K10+L10</f>
        <v>2890000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" si="8">M10-SUM(N10:P10)</f>
        <v>2890000</v>
      </c>
      <c r="R10" s="39">
        <f>VLOOKUP(B10,DS,23,0)</f>
        <v>0</v>
      </c>
      <c r="S10" s="45">
        <f t="shared" ref="S10" si="9">Q10-R10</f>
        <v>2890000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161</v>
      </c>
      <c r="C11" s="89" t="str">
        <f t="shared" ref="C11:C12" si="10">VLOOKUP(B11,DS,2,0)</f>
        <v>Lê Hoàng Diệu</v>
      </c>
      <c r="D11" s="116" t="str">
        <f t="shared" ref="D11:D12" si="11">VLOOKUP(B11,DS,3,0)</f>
        <v>Kinh Doanh</v>
      </c>
      <c r="E11" s="90">
        <f t="shared" ref="E11:E12" si="12">VLOOKUP(B11,DS,4,0)</f>
        <v>2400000</v>
      </c>
      <c r="F11" s="92">
        <f>VLOOKUP(B11,'CC -6'!$B$8:$AS$21,36,0)</f>
        <v>26</v>
      </c>
      <c r="G11" s="145">
        <f t="shared" ref="G11:G12" si="13">ROUND(E11/$U$2*F11,0)</f>
        <v>2400000</v>
      </c>
      <c r="H11" s="92">
        <f>(VLOOKUP(B11,'CC -6'!$B$8:$AS$21,37,0)+VLOOKUP(B11,'CC -6'!$B$8:$AS$21,38,0))</f>
        <v>0</v>
      </c>
      <c r="I11" s="145">
        <f t="shared" ref="I11:I12" si="14">ROUND(E11/$U$2*H11,0)</f>
        <v>0</v>
      </c>
      <c r="J11" s="93">
        <f t="shared" ref="J11:J12" si="15">F11+H11</f>
        <v>26</v>
      </c>
      <c r="K11" s="39">
        <f t="shared" ref="K11:K12" si="16">G11+I11</f>
        <v>2400000</v>
      </c>
      <c r="L11" s="90">
        <f t="shared" ref="L11:L12" si="17">+F11*15000</f>
        <v>390000</v>
      </c>
      <c r="M11" s="40">
        <f t="shared" ref="M11:M12" si="18">K11+L11</f>
        <v>2790000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ref="Q11:Q12" si="19">M11-SUM(N11:P11)</f>
        <v>2790000</v>
      </c>
      <c r="R11" s="39">
        <f>VLOOKUP(B11,DS,23,0)</f>
        <v>0</v>
      </c>
      <c r="S11" s="45">
        <f t="shared" ref="S11:S12" si="20">Q11-R11</f>
        <v>2790000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168</v>
      </c>
      <c r="C12" s="89" t="str">
        <f t="shared" si="10"/>
        <v>Trần Hòa Toản</v>
      </c>
      <c r="D12" s="116" t="str">
        <f t="shared" si="11"/>
        <v>Tài xế</v>
      </c>
      <c r="E12" s="90">
        <f t="shared" si="12"/>
        <v>2350000</v>
      </c>
      <c r="F12" s="92">
        <f>VLOOKUP(B12,'CC -6'!$B$8:$AS$21,36,0)</f>
        <v>26</v>
      </c>
      <c r="G12" s="145">
        <f t="shared" si="13"/>
        <v>2350000</v>
      </c>
      <c r="H12" s="92">
        <f>(VLOOKUP(B12,'CC -6'!$B$8:$AS$21,37,0)+VLOOKUP(B12,'CC -6'!$B$8:$AS$21,38,0))</f>
        <v>0</v>
      </c>
      <c r="I12" s="145">
        <f t="shared" si="14"/>
        <v>0</v>
      </c>
      <c r="J12" s="93">
        <f t="shared" si="15"/>
        <v>26</v>
      </c>
      <c r="K12" s="39">
        <f t="shared" si="16"/>
        <v>2350000</v>
      </c>
      <c r="L12" s="90">
        <f t="shared" si="17"/>
        <v>390000</v>
      </c>
      <c r="M12" s="40">
        <f t="shared" si="18"/>
        <v>2740000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19"/>
        <v>2740000</v>
      </c>
      <c r="R12" s="39">
        <f>VLOOKUP(B12,DS,23,0)</f>
        <v>0</v>
      </c>
      <c r="S12" s="45">
        <f t="shared" si="20"/>
        <v>2740000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76" t="s">
        <v>25</v>
      </c>
      <c r="B14" s="276"/>
      <c r="C14" s="276"/>
      <c r="D14" s="276"/>
      <c r="E14" s="140">
        <f>SUM(E9:E12)</f>
        <v>7250000</v>
      </c>
      <c r="F14" s="140"/>
      <c r="G14" s="140">
        <f>SUM(G9:G12)</f>
        <v>7250000</v>
      </c>
      <c r="H14" s="140"/>
      <c r="I14" s="140">
        <f>SUM(I9:I12)</f>
        <v>0</v>
      </c>
      <c r="J14" s="140"/>
      <c r="K14" s="140">
        <f t="shared" ref="K14:S14" si="21">SUM(K9:K12)</f>
        <v>7250000</v>
      </c>
      <c r="L14" s="140">
        <f t="shared" si="21"/>
        <v>1170000</v>
      </c>
      <c r="M14" s="140">
        <f t="shared" si="21"/>
        <v>8420000</v>
      </c>
      <c r="N14" s="140">
        <f t="shared" si="21"/>
        <v>0</v>
      </c>
      <c r="O14" s="140">
        <f t="shared" si="21"/>
        <v>0</v>
      </c>
      <c r="P14" s="140">
        <f t="shared" si="21"/>
        <v>0</v>
      </c>
      <c r="Q14" s="140">
        <f t="shared" si="21"/>
        <v>8420000</v>
      </c>
      <c r="R14" s="140">
        <f t="shared" si="21"/>
        <v>0</v>
      </c>
      <c r="S14" s="140">
        <f t="shared" si="21"/>
        <v>8420000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162</v>
      </c>
      <c r="C16" s="89" t="str">
        <f t="shared" ref="C16:C18" si="22">VLOOKUP(B16,DS,2,0)</f>
        <v>Bùi Trường Giang</v>
      </c>
      <c r="D16" s="116" t="str">
        <f t="shared" ref="D16:D18" si="23">VLOOKUP(B16,DS,3,0)</f>
        <v>Thợ in</v>
      </c>
      <c r="E16" s="90">
        <f t="shared" ref="E16:E18" si="24">VLOOKUP(B16,DS,4,0)</f>
        <v>1800000</v>
      </c>
      <c r="F16" s="92">
        <f>VLOOKUP(B16,'CC -6'!$B$8:$AS$21,36,0)</f>
        <v>26</v>
      </c>
      <c r="G16" s="145">
        <f t="shared" ref="G16:G18" si="25">ROUND(E16/$U$2*F16,0)</f>
        <v>1800000</v>
      </c>
      <c r="H16" s="92">
        <f>(VLOOKUP(B16,'CC -6'!$B$8:$AS$21,37,0)+VLOOKUP(B16,'CC -6'!$B$8:$AS$21,38,0))</f>
        <v>0</v>
      </c>
      <c r="I16" s="145">
        <f t="shared" ref="I16:I18" si="26">ROUND(E16/$U$2*H16,0)</f>
        <v>0</v>
      </c>
      <c r="J16" s="146">
        <f t="shared" ref="J16:K18" si="27">F16+H16</f>
        <v>26</v>
      </c>
      <c r="K16" s="39">
        <f t="shared" si="27"/>
        <v>1800000</v>
      </c>
      <c r="L16" s="90">
        <f t="shared" ref="L16:L18" si="28">+F16*15000</f>
        <v>390000</v>
      </c>
      <c r="M16" s="40">
        <f t="shared" ref="M16:M18" si="29">K16+L16</f>
        <v>2190000</v>
      </c>
      <c r="N16" s="40">
        <f>IF(VLOOKUP(B16,DS,9,0)="x",'L - 6'!E16*$N$4,0)</f>
        <v>0</v>
      </c>
      <c r="O16" s="40">
        <f t="shared" ref="O16:O18" si="30">IF(VLOOKUP(B16,DS,9,0)="x",E16*0.015,0)</f>
        <v>0</v>
      </c>
      <c r="P16" s="40">
        <f t="shared" ref="P16:P18" si="31">IF(VLOOKUP(B16,DS,9,0)="x",E16*0.01,0)</f>
        <v>0</v>
      </c>
      <c r="Q16" s="39">
        <f>M16-SUM(N16:P16)</f>
        <v>2190000</v>
      </c>
      <c r="R16" s="39">
        <f t="shared" ref="R16:R18" si="32">VLOOKUP(B16,DS,23,0)</f>
        <v>0</v>
      </c>
      <c r="S16" s="45">
        <f>Q16-R16</f>
        <v>2190000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163</v>
      </c>
      <c r="C17" s="89" t="str">
        <f t="shared" si="22"/>
        <v>Huỳnh Thanh Tùng</v>
      </c>
      <c r="D17" s="116" t="str">
        <f t="shared" si="23"/>
        <v>Thợ đóng - xả</v>
      </c>
      <c r="E17" s="90">
        <f t="shared" si="24"/>
        <v>1800000</v>
      </c>
      <c r="F17" s="92">
        <f>VLOOKUP(B17,'CC -6'!$B$8:$AS$21,36,0)</f>
        <v>26</v>
      </c>
      <c r="G17" s="145">
        <f t="shared" si="25"/>
        <v>1800000</v>
      </c>
      <c r="H17" s="92">
        <f>(VLOOKUP(B17,'CC -6'!$B$8:$AS$21,37,0)+VLOOKUP(B17,'CC -6'!$B$8:$AS$21,38,0))</f>
        <v>0</v>
      </c>
      <c r="I17" s="145">
        <f t="shared" si="26"/>
        <v>0</v>
      </c>
      <c r="J17" s="146">
        <f t="shared" si="27"/>
        <v>26</v>
      </c>
      <c r="K17" s="39">
        <f t="shared" si="27"/>
        <v>1800000</v>
      </c>
      <c r="L17" s="90">
        <f t="shared" si="28"/>
        <v>390000</v>
      </c>
      <c r="M17" s="40">
        <f t="shared" si="29"/>
        <v>2190000</v>
      </c>
      <c r="N17" s="40">
        <f>IF(VLOOKUP(B17,DS,9,0)="x",'L - 6'!E17*$N$4,0)</f>
        <v>0</v>
      </c>
      <c r="O17" s="40">
        <f t="shared" si="30"/>
        <v>0</v>
      </c>
      <c r="P17" s="40">
        <f t="shared" si="31"/>
        <v>0</v>
      </c>
      <c r="Q17" s="39">
        <f t="shared" ref="Q17:Q18" si="33">M17-SUM(N17:P17)</f>
        <v>2190000</v>
      </c>
      <c r="R17" s="39">
        <f t="shared" si="32"/>
        <v>0</v>
      </c>
      <c r="S17" s="45">
        <f t="shared" ref="S17:S18" si="34">Q17-R17</f>
        <v>2190000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164</v>
      </c>
      <c r="C18" s="89" t="str">
        <f t="shared" si="22"/>
        <v>Danh Sà Phép</v>
      </c>
      <c r="D18" s="116" t="str">
        <f t="shared" si="23"/>
        <v>Công nhân</v>
      </c>
      <c r="E18" s="90">
        <f t="shared" si="24"/>
        <v>1500000</v>
      </c>
      <c r="F18" s="92">
        <f>VLOOKUP(B18,'CC -6'!$B$8:$AS$21,36,0)</f>
        <v>26</v>
      </c>
      <c r="G18" s="145">
        <f t="shared" si="25"/>
        <v>1500000</v>
      </c>
      <c r="H18" s="92">
        <f>(VLOOKUP(B18,'CC -6'!$B$8:$AS$21,37,0)+VLOOKUP(B18,'CC -6'!$B$8:$AS$21,38,0))</f>
        <v>0</v>
      </c>
      <c r="I18" s="145">
        <f t="shared" si="26"/>
        <v>0</v>
      </c>
      <c r="J18" s="146">
        <f t="shared" si="27"/>
        <v>26</v>
      </c>
      <c r="K18" s="39">
        <f t="shared" si="27"/>
        <v>1500000</v>
      </c>
      <c r="L18" s="90">
        <f t="shared" si="28"/>
        <v>390000</v>
      </c>
      <c r="M18" s="40">
        <f t="shared" si="29"/>
        <v>1890000</v>
      </c>
      <c r="N18" s="40">
        <f>IF(VLOOKUP(B18,DS,9,0)="x",'L - 6'!E18*$N$4,0)</f>
        <v>0</v>
      </c>
      <c r="O18" s="40">
        <f t="shared" si="30"/>
        <v>0</v>
      </c>
      <c r="P18" s="40">
        <f t="shared" si="31"/>
        <v>0</v>
      </c>
      <c r="Q18" s="39">
        <f t="shared" si="33"/>
        <v>1890000</v>
      </c>
      <c r="R18" s="39">
        <f t="shared" si="32"/>
        <v>0</v>
      </c>
      <c r="S18" s="45">
        <f t="shared" si="34"/>
        <v>1890000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76" t="s">
        <v>25</v>
      </c>
      <c r="B20" s="276"/>
      <c r="C20" s="276"/>
      <c r="D20" s="276"/>
      <c r="E20" s="140">
        <f>SUM(E15:E19)</f>
        <v>5100000</v>
      </c>
      <c r="F20" s="140"/>
      <c r="G20" s="140">
        <f t="shared" ref="G20:S20" si="35">SUM(G15:G19)</f>
        <v>5100000</v>
      </c>
      <c r="H20" s="140"/>
      <c r="I20" s="140">
        <f t="shared" si="35"/>
        <v>0</v>
      </c>
      <c r="J20" s="140"/>
      <c r="K20" s="140">
        <f t="shared" si="35"/>
        <v>5100000</v>
      </c>
      <c r="L20" s="140">
        <f t="shared" si="35"/>
        <v>1170000</v>
      </c>
      <c r="M20" s="140">
        <f t="shared" si="35"/>
        <v>6270000</v>
      </c>
      <c r="N20" s="140">
        <f t="shared" si="35"/>
        <v>0</v>
      </c>
      <c r="O20" s="140">
        <f t="shared" si="35"/>
        <v>0</v>
      </c>
      <c r="P20" s="140">
        <f t="shared" si="35"/>
        <v>0</v>
      </c>
      <c r="Q20" s="140">
        <f t="shared" si="35"/>
        <v>6270000</v>
      </c>
      <c r="R20" s="140">
        <f t="shared" si="35"/>
        <v>0</v>
      </c>
      <c r="S20" s="140">
        <f t="shared" si="35"/>
        <v>6270000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06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AF5:IK13 E5:I6 D20 N5:P6 L5 L23 J6:K7 L7 A26:T59 U32:U59 N19:S19 V26:IK59 W10:W13 J19:L19 A60:IK65327 AF15:IK15 V14:IK14 D14 Q10:S13 A10:B14" name="Range1"/>
    <protectedRange password="CC78" sqref="F7:H7" name="Range1_4"/>
    <protectedRange password="CC78" sqref="V23:IK24 S23:T24 N23:Q24 E23:I24" name="Range1_1_1"/>
    <protectedRange password="CC78" sqref="U1 W1:IK3 V4:IK4 B4:T4 X5:AE13 R2:S3 B1:Q3 U19:U31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Q16:S18 A16:B18 AF16:IK18 W16:W18" name="Range1_5"/>
    <protectedRange password="CC78" sqref="X16:AE18 U16:U18" name="Range1_2_3"/>
    <protectedRange password="CC78" sqref="V16:V18" name="Range1_1_3"/>
    <protectedRange password="CC78" sqref="K16:K18 K10:K13" name="Range1_6"/>
    <protectedRange password="CC78" sqref="A2:A3" name="Range1_2_1_3"/>
    <protectedRange password="CC78" sqref="E14:T14" name="Range1_3"/>
    <protectedRange password="CC78" sqref="E20:T20" name="Range1_7"/>
  </protectedRanges>
  <autoFilter ref="A7:AE10"/>
  <mergeCells count="24">
    <mergeCell ref="N5:P5"/>
    <mergeCell ref="Q5:Q7"/>
    <mergeCell ref="A14:D14"/>
    <mergeCell ref="K6:K7"/>
    <mergeCell ref="N6:N7"/>
    <mergeCell ref="O6:O7"/>
    <mergeCell ref="P6:P7"/>
    <mergeCell ref="J6:J7"/>
    <mergeCell ref="A20:D20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A2" sqref="A2:A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9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07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44" t="s">
        <v>170</v>
      </c>
      <c r="AN1" s="245"/>
      <c r="AO1" s="245"/>
      <c r="AP1" s="245"/>
      <c r="AQ1" s="245"/>
      <c r="AR1" s="245"/>
      <c r="AS1" s="246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40725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2" t="s">
        <v>28</v>
      </c>
      <c r="B5" s="262" t="s">
        <v>3</v>
      </c>
      <c r="C5" s="262" t="s">
        <v>1</v>
      </c>
      <c r="D5" s="264" t="s">
        <v>29</v>
      </c>
      <c r="E5" s="262" t="s">
        <v>30</v>
      </c>
      <c r="F5" s="118">
        <f>+E4</f>
        <v>40725</v>
      </c>
      <c r="G5" s="118">
        <f t="shared" ref="G5:AJ5" si="0">F5+1</f>
        <v>40726</v>
      </c>
      <c r="H5" s="118">
        <f t="shared" si="0"/>
        <v>40727</v>
      </c>
      <c r="I5" s="118">
        <f t="shared" si="0"/>
        <v>40728</v>
      </c>
      <c r="J5" s="118">
        <f t="shared" si="0"/>
        <v>40729</v>
      </c>
      <c r="K5" s="118">
        <f t="shared" si="0"/>
        <v>40730</v>
      </c>
      <c r="L5" s="118">
        <f t="shared" si="0"/>
        <v>40731</v>
      </c>
      <c r="M5" s="118">
        <f t="shared" si="0"/>
        <v>40732</v>
      </c>
      <c r="N5" s="118">
        <f t="shared" si="0"/>
        <v>40733</v>
      </c>
      <c r="O5" s="118">
        <f t="shared" si="0"/>
        <v>40734</v>
      </c>
      <c r="P5" s="118">
        <f t="shared" si="0"/>
        <v>40735</v>
      </c>
      <c r="Q5" s="118">
        <f t="shared" si="0"/>
        <v>40736</v>
      </c>
      <c r="R5" s="118">
        <f t="shared" si="0"/>
        <v>40737</v>
      </c>
      <c r="S5" s="118">
        <f t="shared" si="0"/>
        <v>40738</v>
      </c>
      <c r="T5" s="118">
        <f t="shared" si="0"/>
        <v>40739</v>
      </c>
      <c r="U5" s="118">
        <f t="shared" si="0"/>
        <v>40740</v>
      </c>
      <c r="V5" s="118">
        <f t="shared" si="0"/>
        <v>40741</v>
      </c>
      <c r="W5" s="118">
        <f t="shared" si="0"/>
        <v>40742</v>
      </c>
      <c r="X5" s="118">
        <f t="shared" si="0"/>
        <v>40743</v>
      </c>
      <c r="Y5" s="118">
        <f t="shared" si="0"/>
        <v>40744</v>
      </c>
      <c r="Z5" s="118">
        <f t="shared" si="0"/>
        <v>40745</v>
      </c>
      <c r="AA5" s="118">
        <f t="shared" si="0"/>
        <v>40746</v>
      </c>
      <c r="AB5" s="118">
        <f t="shared" si="0"/>
        <v>40747</v>
      </c>
      <c r="AC5" s="118">
        <f t="shared" si="0"/>
        <v>40748</v>
      </c>
      <c r="AD5" s="118">
        <f t="shared" si="0"/>
        <v>40749</v>
      </c>
      <c r="AE5" s="118">
        <f t="shared" si="0"/>
        <v>40750</v>
      </c>
      <c r="AF5" s="118">
        <f t="shared" si="0"/>
        <v>40751</v>
      </c>
      <c r="AG5" s="118">
        <f t="shared" si="0"/>
        <v>40752</v>
      </c>
      <c r="AH5" s="118">
        <f>AG5+1</f>
        <v>40753</v>
      </c>
      <c r="AI5" s="118">
        <f t="shared" si="0"/>
        <v>40754</v>
      </c>
      <c r="AJ5" s="118">
        <f t="shared" si="0"/>
        <v>40755</v>
      </c>
      <c r="AK5" s="259" t="s">
        <v>15</v>
      </c>
      <c r="AL5" s="260"/>
      <c r="AM5" s="261"/>
      <c r="AN5" s="265" t="s">
        <v>45</v>
      </c>
      <c r="AO5" s="265" t="s">
        <v>41</v>
      </c>
      <c r="AP5" s="265" t="s">
        <v>42</v>
      </c>
      <c r="AQ5" s="265" t="s">
        <v>43</v>
      </c>
      <c r="AR5" s="265" t="s">
        <v>44</v>
      </c>
      <c r="AS5" s="264" t="s">
        <v>0</v>
      </c>
      <c r="AT5" s="26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63"/>
      <c r="B6" s="263"/>
      <c r="C6" s="263"/>
      <c r="D6" s="263"/>
      <c r="E6" s="263"/>
      <c r="F6" s="175" t="str">
        <f>CHOOSE(WEEKDAY(F5),"C.Nhật","T.Hai","T.Ba","T.Tư","T.Năm","T.Sáu","T.Bảy")</f>
        <v>T.Sáu</v>
      </c>
      <c r="G6" s="175" t="str">
        <f t="shared" ref="G6:AJ6" si="1">CHOOSE(WEEKDAY(G5),"C.Nhật","T.Hai","T.Ba","T.Tư","T.Năm","T.Sáu","T.Bảy")</f>
        <v>T.Bảy</v>
      </c>
      <c r="H6" s="175" t="str">
        <f t="shared" si="1"/>
        <v>C.Nhật</v>
      </c>
      <c r="I6" s="175" t="str">
        <f t="shared" si="1"/>
        <v>T.Hai</v>
      </c>
      <c r="J6" s="175" t="str">
        <f t="shared" si="1"/>
        <v>T.Ba</v>
      </c>
      <c r="K6" s="175" t="str">
        <f t="shared" si="1"/>
        <v>T.Tư</v>
      </c>
      <c r="L6" s="175" t="str">
        <f t="shared" si="1"/>
        <v>T.Năm</v>
      </c>
      <c r="M6" s="175" t="str">
        <f t="shared" si="1"/>
        <v>T.Sáu</v>
      </c>
      <c r="N6" s="175" t="str">
        <f t="shared" si="1"/>
        <v>T.Bảy</v>
      </c>
      <c r="O6" s="175" t="str">
        <f t="shared" si="1"/>
        <v>C.Nhật</v>
      </c>
      <c r="P6" s="175" t="str">
        <f t="shared" si="1"/>
        <v>T.Hai</v>
      </c>
      <c r="Q6" s="175" t="str">
        <f t="shared" si="1"/>
        <v>T.Ba</v>
      </c>
      <c r="R6" s="175" t="str">
        <f t="shared" si="1"/>
        <v>T.Tư</v>
      </c>
      <c r="S6" s="175" t="str">
        <f t="shared" si="1"/>
        <v>T.Năm</v>
      </c>
      <c r="T6" s="175" t="str">
        <f t="shared" si="1"/>
        <v>T.Sáu</v>
      </c>
      <c r="U6" s="175" t="str">
        <f t="shared" si="1"/>
        <v>T.Bảy</v>
      </c>
      <c r="V6" s="175" t="str">
        <f t="shared" si="1"/>
        <v>C.Nhật</v>
      </c>
      <c r="W6" s="175" t="str">
        <f t="shared" si="1"/>
        <v>T.Hai</v>
      </c>
      <c r="X6" s="175" t="str">
        <f t="shared" si="1"/>
        <v>T.Ba</v>
      </c>
      <c r="Y6" s="175" t="str">
        <f t="shared" si="1"/>
        <v>T.Tư</v>
      </c>
      <c r="Z6" s="175" t="str">
        <f t="shared" si="1"/>
        <v>T.Năm</v>
      </c>
      <c r="AA6" s="175" t="str">
        <f t="shared" si="1"/>
        <v>T.Sáu</v>
      </c>
      <c r="AB6" s="175" t="str">
        <f t="shared" si="1"/>
        <v>T.Bảy</v>
      </c>
      <c r="AC6" s="175" t="str">
        <f t="shared" si="1"/>
        <v>C.Nhật</v>
      </c>
      <c r="AD6" s="175" t="str">
        <f t="shared" si="1"/>
        <v>T.Hai</v>
      </c>
      <c r="AE6" s="175" t="str">
        <f t="shared" si="1"/>
        <v>T.Ba</v>
      </c>
      <c r="AF6" s="175" t="str">
        <f t="shared" si="1"/>
        <v>T.Tư</v>
      </c>
      <c r="AG6" s="175" t="str">
        <f t="shared" si="1"/>
        <v>T.Năm</v>
      </c>
      <c r="AH6" s="175" t="str">
        <f t="shared" si="1"/>
        <v>T.Sáu</v>
      </c>
      <c r="AI6" s="175" t="str">
        <f t="shared" si="1"/>
        <v>T.Bảy</v>
      </c>
      <c r="AJ6" s="175" t="str">
        <f t="shared" si="1"/>
        <v>C.Nhật</v>
      </c>
      <c r="AK6" s="176" t="s">
        <v>16</v>
      </c>
      <c r="AL6" s="176" t="s">
        <v>31</v>
      </c>
      <c r="AM6" s="177" t="s">
        <v>17</v>
      </c>
      <c r="AN6" s="266"/>
      <c r="AO6" s="266"/>
      <c r="AP6" s="266"/>
      <c r="AQ6" s="266"/>
      <c r="AR6" s="266"/>
      <c r="AS6" s="263"/>
      <c r="AT6" s="26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0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171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53">
        <v>1</v>
      </c>
      <c r="B9" s="253" t="s">
        <v>160</v>
      </c>
      <c r="C9" s="255" t="str">
        <f>VLOOKUP(B9,DS,2,0)</f>
        <v>Lê Kim Ngọc Thảo</v>
      </c>
      <c r="D9" s="257" t="str">
        <f>VLOOKUP(B9,DS,3,0)</f>
        <v>Văn Phòng</v>
      </c>
      <c r="E9" s="68" t="s">
        <v>32</v>
      </c>
      <c r="F9" s="143">
        <v>8</v>
      </c>
      <c r="G9" s="143">
        <v>8</v>
      </c>
      <c r="H9" s="143"/>
      <c r="I9" s="143">
        <v>8</v>
      </c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/>
      <c r="P9" s="143">
        <v>8</v>
      </c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/>
      <c r="W9" s="143">
        <v>8</v>
      </c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/>
      <c r="AD9" s="143">
        <v>8</v>
      </c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143"/>
      <c r="AK9" s="247">
        <f>((SUM(F9:AJ9))/8)-(SUMIF($F$6:$AJ$6,"C.Nhật",F9:AJ9)/8)</f>
        <v>26</v>
      </c>
      <c r="AL9" s="247">
        <f>SUM(F10:AJ10)/8*1.5</f>
        <v>0</v>
      </c>
      <c r="AM9" s="249">
        <f>SUMIF($F$6:$AJ$6,"C.Nhật",$F9:$AJ10)/8*2</f>
        <v>0</v>
      </c>
      <c r="AN9" s="240">
        <f>SUM(AK9:AM10)</f>
        <v>26</v>
      </c>
      <c r="AO9" s="251">
        <v>0</v>
      </c>
      <c r="AP9" s="240"/>
      <c r="AQ9" s="240"/>
      <c r="AR9" s="240"/>
      <c r="AS9" s="242"/>
      <c r="AT9" s="20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4"/>
      <c r="B10" s="254"/>
      <c r="C10" s="256"/>
      <c r="D10" s="258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8"/>
      <c r="AL10" s="248"/>
      <c r="AM10" s="250"/>
      <c r="AN10" s="241"/>
      <c r="AO10" s="252"/>
      <c r="AP10" s="241"/>
      <c r="AQ10" s="241"/>
      <c r="AR10" s="241"/>
      <c r="AS10" s="243"/>
      <c r="AT10" s="20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3">
        <f>A7+1</f>
        <v>2</v>
      </c>
      <c r="B11" s="253" t="s">
        <v>161</v>
      </c>
      <c r="C11" s="255" t="str">
        <f>VLOOKUP(B11,DS,2,0)</f>
        <v>Lê Hoàng Diệu</v>
      </c>
      <c r="D11" s="257" t="str">
        <f>VLOOKUP(B11,DS,3,0)</f>
        <v>Kinh Doanh</v>
      </c>
      <c r="E11" s="68" t="s">
        <v>32</v>
      </c>
      <c r="F11" s="143">
        <v>8</v>
      </c>
      <c r="G11" s="143">
        <v>8</v>
      </c>
      <c r="H11" s="143"/>
      <c r="I11" s="143">
        <v>8</v>
      </c>
      <c r="J11" s="143">
        <v>8</v>
      </c>
      <c r="K11" s="143">
        <v>8</v>
      </c>
      <c r="L11" s="143">
        <v>8</v>
      </c>
      <c r="M11" s="143">
        <v>8</v>
      </c>
      <c r="N11" s="143">
        <v>8</v>
      </c>
      <c r="O11" s="143"/>
      <c r="P11" s="143">
        <v>8</v>
      </c>
      <c r="Q11" s="143">
        <v>8</v>
      </c>
      <c r="R11" s="143">
        <v>8</v>
      </c>
      <c r="S11" s="143">
        <v>8</v>
      </c>
      <c r="T11" s="143">
        <v>8</v>
      </c>
      <c r="U11" s="143">
        <v>8</v>
      </c>
      <c r="V11" s="143"/>
      <c r="W11" s="143">
        <v>8</v>
      </c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/>
      <c r="AD11" s="143">
        <v>8</v>
      </c>
      <c r="AE11" s="143">
        <v>8</v>
      </c>
      <c r="AF11" s="143">
        <v>8</v>
      </c>
      <c r="AG11" s="143">
        <v>8</v>
      </c>
      <c r="AH11" s="143">
        <v>8</v>
      </c>
      <c r="AI11" s="143">
        <v>8</v>
      </c>
      <c r="AJ11" s="143"/>
      <c r="AK11" s="247">
        <f t="shared" ref="AK11" si="2">((SUM(F11:AJ11))/8)-(SUMIF($F$6:$AJ$6,"C.Nhật",F11:AJ11)/8)</f>
        <v>26</v>
      </c>
      <c r="AL11" s="247">
        <f t="shared" ref="AL11" si="3">SUM(F12:AJ12)/8*1.5</f>
        <v>0</v>
      </c>
      <c r="AM11" s="249">
        <f t="shared" ref="AM11:AM13" si="4">SUMIF($F$6:$AJ$6,"C.Nhật",$F11:$AJ12)/8*2</f>
        <v>0</v>
      </c>
      <c r="AN11" s="240">
        <f t="shared" ref="AN11" si="5">SUM(AK11:AM12)</f>
        <v>26</v>
      </c>
      <c r="AO11" s="251">
        <v>0</v>
      </c>
      <c r="AP11" s="240"/>
      <c r="AQ11" s="240"/>
      <c r="AR11" s="240"/>
      <c r="AS11" s="242"/>
      <c r="AT11" s="20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4"/>
      <c r="B12" s="254"/>
      <c r="C12" s="256"/>
      <c r="D12" s="258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8"/>
      <c r="AL12" s="248"/>
      <c r="AM12" s="250"/>
      <c r="AN12" s="241"/>
      <c r="AO12" s="252"/>
      <c r="AP12" s="241"/>
      <c r="AQ12" s="241"/>
      <c r="AR12" s="241"/>
      <c r="AS12" s="243"/>
      <c r="AT12" s="20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3">
        <f>A9+1</f>
        <v>2</v>
      </c>
      <c r="B13" s="253" t="s">
        <v>168</v>
      </c>
      <c r="C13" s="255" t="str">
        <f>VLOOKUP(B13,DS,2,0)</f>
        <v>Trần Hòa Toản</v>
      </c>
      <c r="D13" s="257" t="str">
        <f>VLOOKUP(B13,DS,3,0)</f>
        <v>Tài xế</v>
      </c>
      <c r="E13" s="68" t="s">
        <v>32</v>
      </c>
      <c r="F13" s="143">
        <v>8</v>
      </c>
      <c r="G13" s="143">
        <v>8</v>
      </c>
      <c r="H13" s="143"/>
      <c r="I13" s="143">
        <v>8</v>
      </c>
      <c r="J13" s="143">
        <v>8</v>
      </c>
      <c r="K13" s="143">
        <v>8</v>
      </c>
      <c r="L13" s="143">
        <v>8</v>
      </c>
      <c r="M13" s="143">
        <v>8</v>
      </c>
      <c r="N13" s="143">
        <v>8</v>
      </c>
      <c r="O13" s="143"/>
      <c r="P13" s="143">
        <v>8</v>
      </c>
      <c r="Q13" s="143">
        <v>8</v>
      </c>
      <c r="R13" s="143">
        <v>8</v>
      </c>
      <c r="S13" s="143">
        <v>8</v>
      </c>
      <c r="T13" s="143">
        <v>8</v>
      </c>
      <c r="U13" s="143">
        <v>8</v>
      </c>
      <c r="V13" s="143"/>
      <c r="W13" s="143">
        <v>8</v>
      </c>
      <c r="X13" s="143">
        <v>8</v>
      </c>
      <c r="Y13" s="143">
        <v>8</v>
      </c>
      <c r="Z13" s="143">
        <v>8</v>
      </c>
      <c r="AA13" s="143">
        <v>8</v>
      </c>
      <c r="AB13" s="143">
        <v>8</v>
      </c>
      <c r="AC13" s="143"/>
      <c r="AD13" s="143">
        <v>8</v>
      </c>
      <c r="AE13" s="143">
        <v>8</v>
      </c>
      <c r="AF13" s="143">
        <v>8</v>
      </c>
      <c r="AG13" s="143">
        <v>8</v>
      </c>
      <c r="AH13" s="143">
        <v>8</v>
      </c>
      <c r="AI13" s="143">
        <v>8</v>
      </c>
      <c r="AJ13" s="143"/>
      <c r="AK13" s="247">
        <f t="shared" ref="AK13" si="6">((SUM(F13:AJ13))/8)-(SUMIF($F$6:$AJ$6,"C.Nhật",F13:AJ13)/8)</f>
        <v>26</v>
      </c>
      <c r="AL13" s="247">
        <f t="shared" ref="AL13" si="7">SUM(F14:AJ14)/8*1.5</f>
        <v>0</v>
      </c>
      <c r="AM13" s="249">
        <f t="shared" si="4"/>
        <v>0</v>
      </c>
      <c r="AN13" s="240">
        <f t="shared" ref="AN13" si="8">SUM(AK13:AM14)</f>
        <v>26</v>
      </c>
      <c r="AO13" s="251">
        <v>0</v>
      </c>
      <c r="AP13" s="240"/>
      <c r="AQ13" s="240"/>
      <c r="AR13" s="240"/>
      <c r="AS13" s="242"/>
      <c r="AT13" s="201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4"/>
      <c r="B14" s="254"/>
      <c r="C14" s="256"/>
      <c r="D14" s="258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48"/>
      <c r="AL14" s="248"/>
      <c r="AM14" s="250"/>
      <c r="AN14" s="241"/>
      <c r="AO14" s="252"/>
      <c r="AP14" s="241"/>
      <c r="AQ14" s="241"/>
      <c r="AR14" s="241"/>
      <c r="AS14" s="243"/>
      <c r="AT14" s="201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159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53">
        <v>1</v>
      </c>
      <c r="B16" s="253" t="s">
        <v>162</v>
      </c>
      <c r="C16" s="255" t="str">
        <f>VLOOKUP(B16,DS,2,0)</f>
        <v>Bùi Trường Giang</v>
      </c>
      <c r="D16" s="257" t="str">
        <f>VLOOKUP(B16,DS,3,0)</f>
        <v>Thợ in</v>
      </c>
      <c r="E16" s="68" t="s">
        <v>32</v>
      </c>
      <c r="F16" s="143">
        <v>8</v>
      </c>
      <c r="G16" s="143">
        <v>8</v>
      </c>
      <c r="H16" s="143"/>
      <c r="I16" s="143">
        <v>8</v>
      </c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/>
      <c r="P16" s="143">
        <v>8</v>
      </c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/>
      <c r="W16" s="143">
        <v>8</v>
      </c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/>
      <c r="AD16" s="143">
        <v>8</v>
      </c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143"/>
      <c r="AK16" s="247">
        <f t="shared" ref="AK16" si="9">((SUM(F16:AJ16))/8)-(SUMIF($F$6:$AJ$6,"C.Nhật",F16:AJ16)/8)</f>
        <v>26</v>
      </c>
      <c r="AL16" s="247">
        <f t="shared" ref="AL16" si="10">SUM(F17:AJ17)/8*1.5</f>
        <v>0</v>
      </c>
      <c r="AM16" s="249">
        <f>SUMIF($F$6:$AJ$6,"C.Nhật",$F16:$AJ17)/8*2</f>
        <v>0</v>
      </c>
      <c r="AN16" s="240">
        <f>SUM(AK16:AM17)</f>
        <v>26</v>
      </c>
      <c r="AO16" s="251">
        <v>0</v>
      </c>
      <c r="AP16" s="240"/>
      <c r="AQ16" s="240"/>
      <c r="AR16" s="240"/>
      <c r="AS16" s="242"/>
      <c r="AT16" s="20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4"/>
      <c r="B17" s="254"/>
      <c r="C17" s="256"/>
      <c r="D17" s="258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8"/>
      <c r="AL17" s="248"/>
      <c r="AM17" s="250"/>
      <c r="AN17" s="241"/>
      <c r="AO17" s="252"/>
      <c r="AP17" s="241"/>
      <c r="AQ17" s="241"/>
      <c r="AR17" s="241"/>
      <c r="AS17" s="243"/>
      <c r="AT17" s="20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3">
        <f>A16+1</f>
        <v>2</v>
      </c>
      <c r="B18" s="253" t="s">
        <v>163</v>
      </c>
      <c r="C18" s="255" t="str">
        <f>VLOOKUP(B18,DS,2,0)</f>
        <v>Huỳnh Thanh Tùng</v>
      </c>
      <c r="D18" s="257" t="str">
        <f>VLOOKUP(B18,DS,3,0)</f>
        <v>Thợ đóng - xả</v>
      </c>
      <c r="E18" s="68" t="s">
        <v>32</v>
      </c>
      <c r="F18" s="143">
        <v>8</v>
      </c>
      <c r="G18" s="143">
        <v>8</v>
      </c>
      <c r="H18" s="143"/>
      <c r="I18" s="143">
        <v>8</v>
      </c>
      <c r="J18" s="143">
        <v>8</v>
      </c>
      <c r="K18" s="143">
        <v>8</v>
      </c>
      <c r="L18" s="143">
        <v>8</v>
      </c>
      <c r="M18" s="143">
        <v>8</v>
      </c>
      <c r="N18" s="143">
        <v>8</v>
      </c>
      <c r="O18" s="143"/>
      <c r="P18" s="143">
        <v>8</v>
      </c>
      <c r="Q18" s="143">
        <v>8</v>
      </c>
      <c r="R18" s="143">
        <v>8</v>
      </c>
      <c r="S18" s="143">
        <v>8</v>
      </c>
      <c r="T18" s="143">
        <v>8</v>
      </c>
      <c r="U18" s="143">
        <v>8</v>
      </c>
      <c r="V18" s="143"/>
      <c r="W18" s="143">
        <v>8</v>
      </c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/>
      <c r="AD18" s="143">
        <v>8</v>
      </c>
      <c r="AE18" s="143">
        <v>8</v>
      </c>
      <c r="AF18" s="143">
        <v>8</v>
      </c>
      <c r="AG18" s="143">
        <v>8</v>
      </c>
      <c r="AH18" s="143">
        <v>8</v>
      </c>
      <c r="AI18" s="143">
        <v>8</v>
      </c>
      <c r="AJ18" s="143"/>
      <c r="AK18" s="247">
        <f t="shared" ref="AK18" si="11">((SUM(F18:AJ18))/8)-(SUMIF($F$6:$AJ$6,"C.Nhật",F18:AJ18)/8)</f>
        <v>26</v>
      </c>
      <c r="AL18" s="247">
        <f t="shared" ref="AL18" si="12">SUM(F19:AJ19)/8*1.5</f>
        <v>0</v>
      </c>
      <c r="AM18" s="249">
        <f>SUMIF($F$6:$AJ$6,"C.Nhật",$F18:$AJ19)/8*2</f>
        <v>0</v>
      </c>
      <c r="AN18" s="240">
        <f t="shared" ref="AN18" si="13">SUM(AK18:AM19)</f>
        <v>26</v>
      </c>
      <c r="AO18" s="251">
        <v>0</v>
      </c>
      <c r="AP18" s="240"/>
      <c r="AQ18" s="240"/>
      <c r="AR18" s="240"/>
      <c r="AS18" s="242"/>
      <c r="AT18" s="20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4"/>
      <c r="B19" s="254"/>
      <c r="C19" s="256"/>
      <c r="D19" s="258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8"/>
      <c r="AL19" s="248"/>
      <c r="AM19" s="250"/>
      <c r="AN19" s="241"/>
      <c r="AO19" s="252"/>
      <c r="AP19" s="241"/>
      <c r="AQ19" s="241"/>
      <c r="AR19" s="241"/>
      <c r="AS19" s="243"/>
      <c r="AT19" s="20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3">
        <f t="shared" ref="A20" si="14">A18+1</f>
        <v>3</v>
      </c>
      <c r="B20" s="253" t="s">
        <v>164</v>
      </c>
      <c r="C20" s="255" t="str">
        <f>VLOOKUP(B20,DS,2,0)</f>
        <v>Danh Sà Phép</v>
      </c>
      <c r="D20" s="257" t="str">
        <f>VLOOKUP(B20,DS,3,0)</f>
        <v>Công nhân</v>
      </c>
      <c r="E20" s="68" t="s">
        <v>32</v>
      </c>
      <c r="F20" s="143">
        <v>8</v>
      </c>
      <c r="G20" s="143">
        <v>8</v>
      </c>
      <c r="H20" s="143"/>
      <c r="I20" s="143">
        <v>8</v>
      </c>
      <c r="J20" s="143">
        <v>8</v>
      </c>
      <c r="K20" s="143">
        <v>8</v>
      </c>
      <c r="L20" s="143">
        <v>8</v>
      </c>
      <c r="M20" s="143">
        <v>8</v>
      </c>
      <c r="N20" s="143">
        <v>8</v>
      </c>
      <c r="O20" s="143"/>
      <c r="P20" s="143">
        <v>8</v>
      </c>
      <c r="Q20" s="143">
        <v>8</v>
      </c>
      <c r="R20" s="143">
        <v>8</v>
      </c>
      <c r="S20" s="143">
        <v>8</v>
      </c>
      <c r="T20" s="143">
        <v>8</v>
      </c>
      <c r="U20" s="143">
        <v>8</v>
      </c>
      <c r="V20" s="143"/>
      <c r="W20" s="143">
        <v>8</v>
      </c>
      <c r="X20" s="143">
        <v>8</v>
      </c>
      <c r="Y20" s="143">
        <v>8</v>
      </c>
      <c r="Z20" s="143">
        <v>8</v>
      </c>
      <c r="AA20" s="143">
        <v>8</v>
      </c>
      <c r="AB20" s="143">
        <v>8</v>
      </c>
      <c r="AC20" s="143"/>
      <c r="AD20" s="143">
        <v>8</v>
      </c>
      <c r="AE20" s="143">
        <v>8</v>
      </c>
      <c r="AF20" s="143">
        <v>8</v>
      </c>
      <c r="AG20" s="143">
        <v>8</v>
      </c>
      <c r="AH20" s="143">
        <v>8</v>
      </c>
      <c r="AI20" s="143">
        <v>8</v>
      </c>
      <c r="AJ20" s="143"/>
      <c r="AK20" s="247">
        <f t="shared" ref="AK20" si="15">((SUM(F20:AJ20))/8)-(SUMIF($F$6:$AJ$6,"C.Nhật",F20:AJ20)/8)</f>
        <v>26</v>
      </c>
      <c r="AL20" s="247">
        <f t="shared" ref="AL20" si="16">SUM(F21:AJ21)/8*1.5</f>
        <v>0</v>
      </c>
      <c r="AM20" s="249">
        <f>SUMIF($F$6:$AJ$6,"C.Nhật",$F20:$AJ21)/8*2</f>
        <v>0</v>
      </c>
      <c r="AN20" s="240">
        <f t="shared" ref="AN20" si="17">SUM(AK20:AM21)</f>
        <v>26</v>
      </c>
      <c r="AO20" s="251">
        <v>0</v>
      </c>
      <c r="AP20" s="240"/>
      <c r="AQ20" s="240"/>
      <c r="AR20" s="240"/>
      <c r="AS20" s="242"/>
      <c r="AT20" s="201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4"/>
      <c r="B21" s="254"/>
      <c r="C21" s="256"/>
      <c r="D21" s="258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8"/>
      <c r="AL21" s="248"/>
      <c r="AM21" s="250"/>
      <c r="AN21" s="241"/>
      <c r="AO21" s="252"/>
      <c r="AP21" s="241"/>
      <c r="AQ21" s="241"/>
      <c r="AR21" s="241"/>
      <c r="AS21" s="243"/>
      <c r="AT21" s="201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199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199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3:3" ht="15" customHeight="1">
      <c r="C33" s="2" t="s">
        <v>49</v>
      </c>
    </row>
    <row r="34" spans="3:3" ht="15" customHeight="1">
      <c r="C34" s="2" t="s">
        <v>50</v>
      </c>
    </row>
    <row r="35" spans="3:3" ht="15" customHeight="1">
      <c r="C35" s="2" t="s">
        <v>51</v>
      </c>
    </row>
    <row r="36" spans="3:3" ht="15" customHeight="1">
      <c r="C36" s="2" t="s">
        <v>52</v>
      </c>
    </row>
    <row r="37" spans="3:3" ht="15" customHeight="1">
      <c r="C37" s="2" t="s">
        <v>53</v>
      </c>
    </row>
    <row r="38" spans="3:3" ht="15" customHeight="1">
      <c r="C38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C16:E21 A16:A21" name="Range1_6_2"/>
    <protectedRange password="CC78" sqref="B16:B21" name="Range1_4_2"/>
  </protectedRanges>
  <mergeCells count="92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1:A12"/>
    <mergeCell ref="B11:B12"/>
    <mergeCell ref="C11:C12"/>
    <mergeCell ref="D11:D12"/>
    <mergeCell ref="AK11:AK12"/>
    <mergeCell ref="AN11:AN12"/>
    <mergeCell ref="AO11:AO12"/>
    <mergeCell ref="AM9:AM10"/>
    <mergeCell ref="AN9:AN10"/>
    <mergeCell ref="AO9:AO10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S13:AS14"/>
    <mergeCell ref="AP13:AP14"/>
    <mergeCell ref="AQ13:AQ14"/>
    <mergeCell ref="AR13:AR14"/>
    <mergeCell ref="AL11:AL12"/>
    <mergeCell ref="AM11:AM12"/>
    <mergeCell ref="AM13:AM14"/>
    <mergeCell ref="AN13:AN14"/>
    <mergeCell ref="AO13:AO14"/>
    <mergeCell ref="A16:A17"/>
    <mergeCell ref="B16:B17"/>
    <mergeCell ref="C16:C17"/>
    <mergeCell ref="D16:D17"/>
    <mergeCell ref="AK16:AK17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L16:AL17"/>
    <mergeCell ref="AM16:AM17"/>
    <mergeCell ref="AN16:AN17"/>
    <mergeCell ref="AO16:AO17"/>
    <mergeCell ref="AL20:AL21"/>
    <mergeCell ref="AM20:AM21"/>
    <mergeCell ref="AN20:AN21"/>
    <mergeCell ref="AO20:AO21"/>
    <mergeCell ref="AM18:AM19"/>
    <mergeCell ref="AN18:AN19"/>
    <mergeCell ref="AO18:AO19"/>
    <mergeCell ref="A20:A21"/>
    <mergeCell ref="B20:B21"/>
    <mergeCell ref="C20:C21"/>
    <mergeCell ref="D20:D21"/>
    <mergeCell ref="AK20:AK21"/>
    <mergeCell ref="AP20:AP21"/>
    <mergeCell ref="AQ20:AQ21"/>
    <mergeCell ref="AR20:AR21"/>
    <mergeCell ref="AS20:AS21"/>
    <mergeCell ref="AS18:AS19"/>
    <mergeCell ref="AP18:AP19"/>
    <mergeCell ref="AQ18:AQ19"/>
    <mergeCell ref="AR18:AR19"/>
  </mergeCells>
  <conditionalFormatting sqref="F5:AJ6 F9:AJ14 F16:AJ21">
    <cfRule type="expression" dxfId="79" priority="13" stopIfTrue="1">
      <formula>IF(WEEKDAY(F$5)=1,TRUE,FALSE)</formula>
    </cfRule>
  </conditionalFormatting>
  <conditionalFormatting sqref="F9:AJ14">
    <cfRule type="expression" dxfId="78" priority="12" stopIfTrue="1">
      <formula>IF(WEEKDAY(F$5)=1,TRUE,FALSE)</formula>
    </cfRule>
  </conditionalFormatting>
  <conditionalFormatting sqref="F16:AJ21">
    <cfRule type="expression" dxfId="77" priority="11" stopIfTrue="1">
      <formula>IF(WEEKDAY(F$5)=1,TRUE,FALSE)</formula>
    </cfRule>
  </conditionalFormatting>
  <conditionalFormatting sqref="F16:AJ21">
    <cfRule type="expression" dxfId="76" priority="10" stopIfTrue="1">
      <formula>IF(WEEKDAY(F$5)=1,TRUE,FALSE)</formula>
    </cfRule>
  </conditionalFormatting>
  <conditionalFormatting sqref="F16:AI21">
    <cfRule type="expression" dxfId="75" priority="9" stopIfTrue="1">
      <formula>IF(WEEKDAY(F$5)=1,TRUE,FALSE)</formula>
    </cfRule>
  </conditionalFormatting>
  <conditionalFormatting sqref="F16:AJ21">
    <cfRule type="expression" dxfId="74" priority="8" stopIfTrue="1">
      <formula>IF(WEEKDAY(F$5)=1,TRUE,FALSE)</formula>
    </cfRule>
  </conditionalFormatting>
  <conditionalFormatting sqref="F16:AI21">
    <cfRule type="expression" dxfId="73" priority="7" stopIfTrue="1">
      <formula>IF(WEEKDAY(F$5)=1,TRUE,FALSE)</formula>
    </cfRule>
  </conditionalFormatting>
  <conditionalFormatting sqref="F16:AJ21">
    <cfRule type="expression" dxfId="72" priority="6" stopIfTrue="1">
      <formula>IF(WEEKDAY(F$5)=1,TRUE,FALSE)</formula>
    </cfRule>
  </conditionalFormatting>
  <conditionalFormatting sqref="F16:AJ21">
    <cfRule type="expression" dxfId="71" priority="5" stopIfTrue="1">
      <formula>IF(WEEKDAY(F$5)=1,TRUE,FALSE)</formula>
    </cfRule>
  </conditionalFormatting>
  <conditionalFormatting sqref="F16:AJ21">
    <cfRule type="expression" dxfId="70" priority="4" stopIfTrue="1">
      <formula>IF(WEEKDAY(F$5)=1,TRUE,FALSE)</formula>
    </cfRule>
  </conditionalFormatting>
  <conditionalFormatting sqref="F16:AJ21">
    <cfRule type="expression" dxfId="69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D12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S20" activeCellId="1" sqref="S14 S20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03"/>
      <c r="C1" s="203"/>
      <c r="D1" s="277" t="str">
        <f>"BẢNG THANH TOÁN LƯƠNG THÁNG"&amp;" "&amp;TEXT($E$4,"mm")&amp;" / "&amp;TEXT($E$4,"yyyy")</f>
        <v>BẢNG THANH TOÁN LƯƠNG THÁNG 07 / 2011</v>
      </c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8"/>
      <c r="R1" s="271" t="s">
        <v>170</v>
      </c>
      <c r="S1" s="272"/>
      <c r="T1" s="273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03"/>
      <c r="C2" s="203"/>
      <c r="D2" s="203"/>
      <c r="E2" s="81"/>
      <c r="F2" s="203"/>
      <c r="G2" s="203"/>
      <c r="H2" s="203"/>
      <c r="I2" s="203"/>
      <c r="J2" s="82"/>
      <c r="K2" s="203"/>
      <c r="L2" s="203"/>
      <c r="M2" s="203"/>
      <c r="N2" s="203"/>
      <c r="O2" s="203"/>
      <c r="P2" s="203"/>
      <c r="Q2" s="203"/>
      <c r="R2" s="203"/>
      <c r="S2" s="203"/>
      <c r="T2" s="59"/>
      <c r="U2" s="80"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03"/>
      <c r="C3" s="203"/>
      <c r="D3" s="203"/>
      <c r="E3" s="81"/>
      <c r="F3" s="203"/>
      <c r="G3" s="203"/>
      <c r="H3" s="203"/>
      <c r="I3" s="203"/>
      <c r="J3" s="82"/>
      <c r="K3" s="203"/>
      <c r="L3" s="203"/>
      <c r="M3" s="203"/>
      <c r="N3" s="203"/>
      <c r="O3" s="203"/>
      <c r="P3" s="203"/>
      <c r="Q3" s="203"/>
      <c r="R3" s="203"/>
      <c r="S3" s="203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-7'!$E$4</f>
        <v>40725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9" t="s">
        <v>19</v>
      </c>
      <c r="B5" s="279" t="s">
        <v>20</v>
      </c>
      <c r="C5" s="233" t="s">
        <v>1</v>
      </c>
      <c r="D5" s="233" t="s">
        <v>2</v>
      </c>
      <c r="E5" s="228" t="s">
        <v>56</v>
      </c>
      <c r="F5" s="281" t="s">
        <v>26</v>
      </c>
      <c r="G5" s="283"/>
      <c r="H5" s="283"/>
      <c r="I5" s="283"/>
      <c r="J5" s="283"/>
      <c r="K5" s="282"/>
      <c r="L5" s="268" t="s">
        <v>57</v>
      </c>
      <c r="M5" s="268" t="s">
        <v>5</v>
      </c>
      <c r="N5" s="233" t="s">
        <v>6</v>
      </c>
      <c r="O5" s="233"/>
      <c r="P5" s="233"/>
      <c r="Q5" s="268" t="s">
        <v>7</v>
      </c>
      <c r="R5" s="268" t="s">
        <v>8</v>
      </c>
      <c r="S5" s="268" t="s">
        <v>9</v>
      </c>
      <c r="T5" s="22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80"/>
      <c r="B6" s="280"/>
      <c r="C6" s="233"/>
      <c r="D6" s="233"/>
      <c r="E6" s="228"/>
      <c r="F6" s="281" t="s">
        <v>59</v>
      </c>
      <c r="G6" s="282"/>
      <c r="H6" s="281" t="s">
        <v>158</v>
      </c>
      <c r="I6" s="283"/>
      <c r="J6" s="284" t="s">
        <v>27</v>
      </c>
      <c r="K6" s="268" t="s">
        <v>4</v>
      </c>
      <c r="L6" s="269"/>
      <c r="M6" s="269"/>
      <c r="N6" s="274" t="s">
        <v>12</v>
      </c>
      <c r="O6" s="268" t="s">
        <v>13</v>
      </c>
      <c r="P6" s="268" t="s">
        <v>34</v>
      </c>
      <c r="Q6" s="269"/>
      <c r="R6" s="269"/>
      <c r="S6" s="269"/>
      <c r="T6" s="23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80"/>
      <c r="B7" s="280"/>
      <c r="C7" s="268"/>
      <c r="D7" s="268"/>
      <c r="E7" s="228"/>
      <c r="F7" s="202" t="s">
        <v>40</v>
      </c>
      <c r="G7" s="200" t="s">
        <v>18</v>
      </c>
      <c r="H7" s="202" t="s">
        <v>40</v>
      </c>
      <c r="I7" s="128" t="s">
        <v>18</v>
      </c>
      <c r="J7" s="285"/>
      <c r="K7" s="269"/>
      <c r="L7" s="270"/>
      <c r="M7" s="270"/>
      <c r="N7" s="275"/>
      <c r="O7" s="269"/>
      <c r="P7" s="269"/>
      <c r="Q7" s="269"/>
      <c r="R7" s="269"/>
      <c r="S7" s="269"/>
      <c r="T7" s="23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171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160</v>
      </c>
      <c r="C10" s="89" t="str">
        <f t="shared" ref="C10:C12" si="0">VLOOKUP(B10,DS,2,0)</f>
        <v>Lê Kim Ngọc Thảo</v>
      </c>
      <c r="D10" s="116" t="str">
        <f t="shared" ref="D10:D12" si="1">VLOOKUP(B10,DS,3,0)</f>
        <v>Văn Phòng</v>
      </c>
      <c r="E10" s="90">
        <f t="shared" ref="E10:E12" si="2">VLOOKUP(B10,DS,4,0)</f>
        <v>2500000</v>
      </c>
      <c r="F10" s="92">
        <f>VLOOKUP(B10,'CC -7'!$B$8:$AS$21,36,0)</f>
        <v>26</v>
      </c>
      <c r="G10" s="145">
        <f t="shared" ref="G10:G12" si="3">ROUND(E10/$U$2*F10,0)</f>
        <v>2500000</v>
      </c>
      <c r="H10" s="92">
        <f>(VLOOKUP(B10,'CC -7'!$B$8:$AS$21,37,0)+VLOOKUP(B10,'CC -7'!$B$8:$AS$21,38,0))</f>
        <v>0</v>
      </c>
      <c r="I10" s="145">
        <f t="shared" ref="I10:I12" si="4">ROUND(E10/$U$2*H10,0)</f>
        <v>0</v>
      </c>
      <c r="J10" s="93">
        <f t="shared" ref="J10:K12" si="5">F10+H10</f>
        <v>26</v>
      </c>
      <c r="K10" s="39">
        <f>G10+I10</f>
        <v>2500000</v>
      </c>
      <c r="L10" s="90">
        <f t="shared" ref="L10:L12" si="6">+F10*15000</f>
        <v>390000</v>
      </c>
      <c r="M10" s="40">
        <f t="shared" ref="M10:M12" si="7">K10+L10</f>
        <v>2890000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2890000</v>
      </c>
      <c r="R10" s="39">
        <f>VLOOKUP(B10,DS,23,0)</f>
        <v>0</v>
      </c>
      <c r="S10" s="45">
        <f t="shared" ref="S10:S12" si="9">Q10-R10</f>
        <v>2890000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161</v>
      </c>
      <c r="C11" s="89" t="str">
        <f t="shared" si="0"/>
        <v>Lê Hoàng Diệu</v>
      </c>
      <c r="D11" s="116" t="str">
        <f t="shared" si="1"/>
        <v>Kinh Doanh</v>
      </c>
      <c r="E11" s="90">
        <f t="shared" si="2"/>
        <v>2400000</v>
      </c>
      <c r="F11" s="92">
        <f>VLOOKUP(B11,'CC -7'!$B$8:$AS$21,36,0)</f>
        <v>26</v>
      </c>
      <c r="G11" s="145">
        <f t="shared" si="3"/>
        <v>2400000</v>
      </c>
      <c r="H11" s="92">
        <f>(VLOOKUP(B11,'CC -7'!$B$8:$AS$21,37,0)+VLOOKUP(B11,'CC -7'!$B$8:$AS$21,38,0))</f>
        <v>0</v>
      </c>
      <c r="I11" s="145">
        <f t="shared" si="4"/>
        <v>0</v>
      </c>
      <c r="J11" s="93">
        <f t="shared" si="5"/>
        <v>26</v>
      </c>
      <c r="K11" s="39">
        <f t="shared" si="5"/>
        <v>2400000</v>
      </c>
      <c r="L11" s="90">
        <f t="shared" si="6"/>
        <v>390000</v>
      </c>
      <c r="M11" s="40">
        <f t="shared" si="7"/>
        <v>2790000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2790000</v>
      </c>
      <c r="R11" s="39">
        <f>VLOOKUP(B11,DS,23,0)</f>
        <v>0</v>
      </c>
      <c r="S11" s="45">
        <f t="shared" si="9"/>
        <v>2790000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168</v>
      </c>
      <c r="C12" s="89" t="str">
        <f t="shared" si="0"/>
        <v>Trần Hòa Toản</v>
      </c>
      <c r="D12" s="116" t="str">
        <f t="shared" si="1"/>
        <v>Tài xế</v>
      </c>
      <c r="E12" s="90">
        <f t="shared" si="2"/>
        <v>2350000</v>
      </c>
      <c r="F12" s="92">
        <f>VLOOKUP(B12,'CC -7'!$B$8:$AS$21,36,0)</f>
        <v>26</v>
      </c>
      <c r="G12" s="145">
        <f t="shared" si="3"/>
        <v>2350000</v>
      </c>
      <c r="H12" s="92">
        <f>(VLOOKUP(B12,'CC -7'!$B$8:$AS$21,37,0)+VLOOKUP(B12,'CC -7'!$B$8:$AS$21,38,0))</f>
        <v>0</v>
      </c>
      <c r="I12" s="145">
        <f t="shared" si="4"/>
        <v>0</v>
      </c>
      <c r="J12" s="93">
        <f t="shared" si="5"/>
        <v>26</v>
      </c>
      <c r="K12" s="39">
        <f t="shared" si="5"/>
        <v>2350000</v>
      </c>
      <c r="L12" s="90">
        <f t="shared" si="6"/>
        <v>390000</v>
      </c>
      <c r="M12" s="40">
        <f t="shared" si="7"/>
        <v>2740000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2740000</v>
      </c>
      <c r="R12" s="39">
        <f>VLOOKUP(B12,DS,23,0)</f>
        <v>0</v>
      </c>
      <c r="S12" s="45">
        <f t="shared" si="9"/>
        <v>2740000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76" t="s">
        <v>25</v>
      </c>
      <c r="B14" s="276"/>
      <c r="C14" s="276"/>
      <c r="D14" s="276"/>
      <c r="E14" s="140">
        <f>SUM(E9:E12)</f>
        <v>7250000</v>
      </c>
      <c r="F14" s="140"/>
      <c r="G14" s="140">
        <f>SUM(G9:G12)</f>
        <v>7250000</v>
      </c>
      <c r="H14" s="140"/>
      <c r="I14" s="140">
        <f>SUM(I9:I12)</f>
        <v>0</v>
      </c>
      <c r="J14" s="140"/>
      <c r="K14" s="140">
        <f t="shared" ref="K14:S14" si="10">SUM(K9:K12)</f>
        <v>7250000</v>
      </c>
      <c r="L14" s="140">
        <f t="shared" si="10"/>
        <v>1170000</v>
      </c>
      <c r="M14" s="140">
        <f t="shared" si="10"/>
        <v>8420000</v>
      </c>
      <c r="N14" s="140">
        <f t="shared" si="10"/>
        <v>0</v>
      </c>
      <c r="O14" s="140">
        <f t="shared" si="10"/>
        <v>0</v>
      </c>
      <c r="P14" s="140">
        <f t="shared" si="10"/>
        <v>0</v>
      </c>
      <c r="Q14" s="140">
        <f t="shared" si="10"/>
        <v>8420000</v>
      </c>
      <c r="R14" s="140">
        <f t="shared" si="10"/>
        <v>0</v>
      </c>
      <c r="S14" s="140">
        <f t="shared" si="10"/>
        <v>8420000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162</v>
      </c>
      <c r="C16" s="89" t="str">
        <f t="shared" ref="C16:C18" si="11">VLOOKUP(B16,DS,2,0)</f>
        <v>Bùi Trường Giang</v>
      </c>
      <c r="D16" s="116" t="str">
        <f t="shared" ref="D16:D18" si="12">VLOOKUP(B16,DS,3,0)</f>
        <v>Thợ in</v>
      </c>
      <c r="E16" s="90">
        <f t="shared" ref="E16:E18" si="13">VLOOKUP(B16,DS,4,0)</f>
        <v>1800000</v>
      </c>
      <c r="F16" s="92">
        <f>VLOOKUP(B16,'CC -7'!$B$8:$AS$21,36,0)</f>
        <v>26</v>
      </c>
      <c r="G16" s="145">
        <f t="shared" ref="G16:G18" si="14">ROUND(E16/$U$2*F16,0)</f>
        <v>1800000</v>
      </c>
      <c r="H16" s="92">
        <f>(VLOOKUP(B16,'CC -7'!$B$8:$AS$21,37,0)+VLOOKUP(B16,'CC -7'!$B$8:$AS$21,38,0))</f>
        <v>0</v>
      </c>
      <c r="I16" s="145">
        <f t="shared" ref="I16:I18" si="15">ROUND(E16/$U$2*H16,0)</f>
        <v>0</v>
      </c>
      <c r="J16" s="146">
        <f t="shared" ref="J16:K18" si="16">F16+H16</f>
        <v>26</v>
      </c>
      <c r="K16" s="39">
        <f t="shared" si="16"/>
        <v>1800000</v>
      </c>
      <c r="L16" s="90">
        <f t="shared" ref="L16:L18" si="17">+F16*15000</f>
        <v>390000</v>
      </c>
      <c r="M16" s="40">
        <f t="shared" ref="M16:M18" si="18">K16+L16</f>
        <v>2190000</v>
      </c>
      <c r="N16" s="40">
        <f>IF(VLOOKUP(B16,DS,9,0)="x",'L - 7'!E16*$N$4,0)</f>
        <v>0</v>
      </c>
      <c r="O16" s="40">
        <f t="shared" ref="O16:O18" si="19">IF(VLOOKUP(B16,DS,9,0)="x",E16*0.015,0)</f>
        <v>0</v>
      </c>
      <c r="P16" s="40">
        <f t="shared" ref="P16:P18" si="20">IF(VLOOKUP(B16,DS,9,0)="x",E16*0.01,0)</f>
        <v>0</v>
      </c>
      <c r="Q16" s="39">
        <f>M16-SUM(N16:P16)</f>
        <v>2190000</v>
      </c>
      <c r="R16" s="39">
        <f t="shared" ref="R16:R18" si="21">VLOOKUP(B16,DS,23,0)</f>
        <v>0</v>
      </c>
      <c r="S16" s="45">
        <f>Q16-R16</f>
        <v>2190000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163</v>
      </c>
      <c r="C17" s="89" t="str">
        <f t="shared" si="11"/>
        <v>Huỳnh Thanh Tùng</v>
      </c>
      <c r="D17" s="116" t="str">
        <f t="shared" si="12"/>
        <v>Thợ đóng - xả</v>
      </c>
      <c r="E17" s="90">
        <f t="shared" si="13"/>
        <v>1800000</v>
      </c>
      <c r="F17" s="92">
        <f>VLOOKUP(B17,'CC -7'!$B$8:$AS$21,36,0)</f>
        <v>26</v>
      </c>
      <c r="G17" s="145">
        <f t="shared" si="14"/>
        <v>1800000</v>
      </c>
      <c r="H17" s="92">
        <f>(VLOOKUP(B17,'CC -7'!$B$8:$AS$21,37,0)+VLOOKUP(B17,'CC -7'!$B$8:$AS$21,38,0))</f>
        <v>0</v>
      </c>
      <c r="I17" s="145">
        <f t="shared" si="15"/>
        <v>0</v>
      </c>
      <c r="J17" s="146">
        <f t="shared" si="16"/>
        <v>26</v>
      </c>
      <c r="K17" s="39">
        <f t="shared" si="16"/>
        <v>1800000</v>
      </c>
      <c r="L17" s="90">
        <f t="shared" si="17"/>
        <v>390000</v>
      </c>
      <c r="M17" s="40">
        <f t="shared" si="18"/>
        <v>2190000</v>
      </c>
      <c r="N17" s="40">
        <f>IF(VLOOKUP(B17,DS,9,0)="x",'L - 7'!E17*$N$4,0)</f>
        <v>0</v>
      </c>
      <c r="O17" s="40">
        <f t="shared" si="19"/>
        <v>0</v>
      </c>
      <c r="P17" s="40">
        <f t="shared" si="20"/>
        <v>0</v>
      </c>
      <c r="Q17" s="39">
        <f t="shared" ref="Q17:Q18" si="22">M17-SUM(N17:P17)</f>
        <v>2190000</v>
      </c>
      <c r="R17" s="39">
        <f t="shared" si="21"/>
        <v>0</v>
      </c>
      <c r="S17" s="45">
        <f t="shared" ref="S17:S18" si="23">Q17-R17</f>
        <v>2190000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164</v>
      </c>
      <c r="C18" s="89" t="str">
        <f t="shared" si="11"/>
        <v>Danh Sà Phép</v>
      </c>
      <c r="D18" s="116" t="str">
        <f t="shared" si="12"/>
        <v>Công nhân</v>
      </c>
      <c r="E18" s="90">
        <f t="shared" si="13"/>
        <v>1500000</v>
      </c>
      <c r="F18" s="92">
        <f>VLOOKUP(B18,'CC -7'!$B$8:$AS$21,36,0)</f>
        <v>26</v>
      </c>
      <c r="G18" s="145">
        <f t="shared" si="14"/>
        <v>1500000</v>
      </c>
      <c r="H18" s="92">
        <f>(VLOOKUP(B18,'CC -7'!$B$8:$AS$21,37,0)+VLOOKUP(B18,'CC -7'!$B$8:$AS$21,38,0))</f>
        <v>0</v>
      </c>
      <c r="I18" s="145">
        <f t="shared" si="15"/>
        <v>0</v>
      </c>
      <c r="J18" s="146">
        <f t="shared" si="16"/>
        <v>26</v>
      </c>
      <c r="K18" s="39">
        <f t="shared" si="16"/>
        <v>1500000</v>
      </c>
      <c r="L18" s="90">
        <f t="shared" si="17"/>
        <v>390000</v>
      </c>
      <c r="M18" s="40">
        <f t="shared" si="18"/>
        <v>1890000</v>
      </c>
      <c r="N18" s="40">
        <f>IF(VLOOKUP(B18,DS,9,0)="x",'L - 7'!E18*$N$4,0)</f>
        <v>0</v>
      </c>
      <c r="O18" s="40">
        <f t="shared" si="19"/>
        <v>0</v>
      </c>
      <c r="P18" s="40">
        <f t="shared" si="20"/>
        <v>0</v>
      </c>
      <c r="Q18" s="39">
        <f t="shared" si="22"/>
        <v>1890000</v>
      </c>
      <c r="R18" s="39">
        <f t="shared" si="21"/>
        <v>0</v>
      </c>
      <c r="S18" s="45">
        <f t="shared" si="23"/>
        <v>1890000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76" t="s">
        <v>25</v>
      </c>
      <c r="B20" s="276"/>
      <c r="C20" s="276"/>
      <c r="D20" s="276"/>
      <c r="E20" s="140">
        <f>SUM(E15:E19)</f>
        <v>5100000</v>
      </c>
      <c r="F20" s="140"/>
      <c r="G20" s="140">
        <f t="shared" ref="G20:S20" si="24">SUM(G15:G19)</f>
        <v>5100000</v>
      </c>
      <c r="H20" s="140"/>
      <c r="I20" s="140">
        <f t="shared" si="24"/>
        <v>0</v>
      </c>
      <c r="J20" s="140"/>
      <c r="K20" s="140">
        <f t="shared" si="24"/>
        <v>5100000</v>
      </c>
      <c r="L20" s="140">
        <f t="shared" si="24"/>
        <v>1170000</v>
      </c>
      <c r="M20" s="140">
        <f t="shared" si="24"/>
        <v>6270000</v>
      </c>
      <c r="N20" s="140">
        <f t="shared" si="24"/>
        <v>0</v>
      </c>
      <c r="O20" s="140">
        <f t="shared" si="24"/>
        <v>0</v>
      </c>
      <c r="P20" s="140">
        <f t="shared" si="24"/>
        <v>0</v>
      </c>
      <c r="Q20" s="140">
        <f t="shared" si="24"/>
        <v>6270000</v>
      </c>
      <c r="R20" s="140">
        <f t="shared" si="24"/>
        <v>0</v>
      </c>
      <c r="S20" s="140">
        <f t="shared" si="24"/>
        <v>6270000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07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AF5:IK13 E5:I6 D20 N5:P6 L5 L23 J6:K7 L7 A26:T59 U32:U59 N19:S19 V26:IK59 W10:W13 J19:L19 A60:IK65327 AF15:IK15 V14:IK14 D14 Q10:S13 A10:B14" name="Range1"/>
    <protectedRange password="CC78" sqref="F7:H7" name="Range1_4"/>
    <protectedRange password="CC78" sqref="V23:IK24 S23:T24 N23:Q24 E23:I24" name="Range1_1_1"/>
    <protectedRange password="CC78" sqref="U1 W1:IK3 V4:IK4 B4:T4 X5:AE13 R2:S3 B1:Q3 U19:U31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Q16:S18 A16:B18 AF16:IK18 W16:W18" name="Range1_5"/>
    <protectedRange password="CC78" sqref="X16:AE18 U16:U18" name="Range1_2_3"/>
    <protectedRange password="CC78" sqref="V16:V18" name="Range1_1_3"/>
    <protectedRange password="CC78" sqref="K16:K18 K10:K13" name="Range1_6"/>
    <protectedRange password="CC78" sqref="A2:A3" name="Range1_2_1_3"/>
    <protectedRange password="CC78" sqref="E14:T14" name="Range1_3"/>
    <protectedRange password="CC78" sqref="E20:T20" name="Range1_7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4:D14"/>
    <mergeCell ref="A20:D20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A2" sqref="A2:A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9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08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44" t="s">
        <v>170</v>
      </c>
      <c r="AN1" s="245"/>
      <c r="AO1" s="245"/>
      <c r="AP1" s="245"/>
      <c r="AQ1" s="245"/>
      <c r="AR1" s="245"/>
      <c r="AS1" s="246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40756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2" t="s">
        <v>28</v>
      </c>
      <c r="B5" s="262" t="s">
        <v>3</v>
      </c>
      <c r="C5" s="262" t="s">
        <v>1</v>
      </c>
      <c r="D5" s="264" t="s">
        <v>29</v>
      </c>
      <c r="E5" s="262" t="s">
        <v>30</v>
      </c>
      <c r="F5" s="118">
        <f>+E4</f>
        <v>40756</v>
      </c>
      <c r="G5" s="118">
        <f t="shared" ref="G5:AJ5" si="0">F5+1</f>
        <v>40757</v>
      </c>
      <c r="H5" s="118">
        <f t="shared" si="0"/>
        <v>40758</v>
      </c>
      <c r="I5" s="118">
        <f t="shared" si="0"/>
        <v>40759</v>
      </c>
      <c r="J5" s="118">
        <f t="shared" si="0"/>
        <v>40760</v>
      </c>
      <c r="K5" s="118">
        <f t="shared" si="0"/>
        <v>40761</v>
      </c>
      <c r="L5" s="118">
        <f t="shared" si="0"/>
        <v>40762</v>
      </c>
      <c r="M5" s="118">
        <f t="shared" si="0"/>
        <v>40763</v>
      </c>
      <c r="N5" s="118">
        <f t="shared" si="0"/>
        <v>40764</v>
      </c>
      <c r="O5" s="118">
        <f t="shared" si="0"/>
        <v>40765</v>
      </c>
      <c r="P5" s="118">
        <f t="shared" si="0"/>
        <v>40766</v>
      </c>
      <c r="Q5" s="118">
        <f t="shared" si="0"/>
        <v>40767</v>
      </c>
      <c r="R5" s="118">
        <f t="shared" si="0"/>
        <v>40768</v>
      </c>
      <c r="S5" s="118">
        <f t="shared" si="0"/>
        <v>40769</v>
      </c>
      <c r="T5" s="118">
        <f t="shared" si="0"/>
        <v>40770</v>
      </c>
      <c r="U5" s="118">
        <f t="shared" si="0"/>
        <v>40771</v>
      </c>
      <c r="V5" s="118">
        <f t="shared" si="0"/>
        <v>40772</v>
      </c>
      <c r="W5" s="118">
        <f t="shared" si="0"/>
        <v>40773</v>
      </c>
      <c r="X5" s="118">
        <f t="shared" si="0"/>
        <v>40774</v>
      </c>
      <c r="Y5" s="118">
        <f t="shared" si="0"/>
        <v>40775</v>
      </c>
      <c r="Z5" s="118">
        <f t="shared" si="0"/>
        <v>40776</v>
      </c>
      <c r="AA5" s="118">
        <f t="shared" si="0"/>
        <v>40777</v>
      </c>
      <c r="AB5" s="118">
        <f t="shared" si="0"/>
        <v>40778</v>
      </c>
      <c r="AC5" s="118">
        <f t="shared" si="0"/>
        <v>40779</v>
      </c>
      <c r="AD5" s="118">
        <f t="shared" si="0"/>
        <v>40780</v>
      </c>
      <c r="AE5" s="118">
        <f t="shared" si="0"/>
        <v>40781</v>
      </c>
      <c r="AF5" s="118">
        <f t="shared" si="0"/>
        <v>40782</v>
      </c>
      <c r="AG5" s="118">
        <f t="shared" si="0"/>
        <v>40783</v>
      </c>
      <c r="AH5" s="118">
        <f>AG5+1</f>
        <v>40784</v>
      </c>
      <c r="AI5" s="118">
        <f t="shared" si="0"/>
        <v>40785</v>
      </c>
      <c r="AJ5" s="118">
        <f t="shared" si="0"/>
        <v>40786</v>
      </c>
      <c r="AK5" s="259" t="s">
        <v>15</v>
      </c>
      <c r="AL5" s="260"/>
      <c r="AM5" s="261"/>
      <c r="AN5" s="265" t="s">
        <v>45</v>
      </c>
      <c r="AO5" s="265" t="s">
        <v>41</v>
      </c>
      <c r="AP5" s="265" t="s">
        <v>42</v>
      </c>
      <c r="AQ5" s="265" t="s">
        <v>43</v>
      </c>
      <c r="AR5" s="265" t="s">
        <v>44</v>
      </c>
      <c r="AS5" s="264" t="s">
        <v>0</v>
      </c>
      <c r="AT5" s="26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63"/>
      <c r="B6" s="263"/>
      <c r="C6" s="263"/>
      <c r="D6" s="263"/>
      <c r="E6" s="263"/>
      <c r="F6" s="175" t="str">
        <f>CHOOSE(WEEKDAY(F5),"C.Nhật","T.Hai","T.Ba","T.Tư","T.Năm","T.Sáu","T.Bảy")</f>
        <v>T.Hai</v>
      </c>
      <c r="G6" s="175" t="str">
        <f t="shared" ref="G6:AJ6" si="1">CHOOSE(WEEKDAY(G5),"C.Nhật","T.Hai","T.Ba","T.Tư","T.Năm","T.Sáu","T.Bảy")</f>
        <v>T.Ba</v>
      </c>
      <c r="H6" s="175" t="str">
        <f t="shared" si="1"/>
        <v>T.Tư</v>
      </c>
      <c r="I6" s="175" t="str">
        <f t="shared" si="1"/>
        <v>T.Năm</v>
      </c>
      <c r="J6" s="175" t="str">
        <f t="shared" si="1"/>
        <v>T.Sáu</v>
      </c>
      <c r="K6" s="175" t="str">
        <f t="shared" si="1"/>
        <v>T.Bảy</v>
      </c>
      <c r="L6" s="175" t="str">
        <f t="shared" si="1"/>
        <v>C.Nhật</v>
      </c>
      <c r="M6" s="175" t="str">
        <f t="shared" si="1"/>
        <v>T.Hai</v>
      </c>
      <c r="N6" s="175" t="str">
        <f t="shared" si="1"/>
        <v>T.Ba</v>
      </c>
      <c r="O6" s="175" t="str">
        <f t="shared" si="1"/>
        <v>T.Tư</v>
      </c>
      <c r="P6" s="175" t="str">
        <f t="shared" si="1"/>
        <v>T.Năm</v>
      </c>
      <c r="Q6" s="175" t="str">
        <f t="shared" si="1"/>
        <v>T.Sáu</v>
      </c>
      <c r="R6" s="175" t="str">
        <f t="shared" si="1"/>
        <v>T.Bảy</v>
      </c>
      <c r="S6" s="175" t="str">
        <f t="shared" si="1"/>
        <v>C.Nhật</v>
      </c>
      <c r="T6" s="175" t="str">
        <f t="shared" si="1"/>
        <v>T.Hai</v>
      </c>
      <c r="U6" s="175" t="str">
        <f t="shared" si="1"/>
        <v>T.Ba</v>
      </c>
      <c r="V6" s="175" t="str">
        <f t="shared" si="1"/>
        <v>T.Tư</v>
      </c>
      <c r="W6" s="175" t="str">
        <f t="shared" si="1"/>
        <v>T.Năm</v>
      </c>
      <c r="X6" s="175" t="str">
        <f t="shared" si="1"/>
        <v>T.Sáu</v>
      </c>
      <c r="Y6" s="175" t="str">
        <f t="shared" si="1"/>
        <v>T.Bảy</v>
      </c>
      <c r="Z6" s="175" t="str">
        <f t="shared" si="1"/>
        <v>C.Nhật</v>
      </c>
      <c r="AA6" s="175" t="str">
        <f t="shared" si="1"/>
        <v>T.Hai</v>
      </c>
      <c r="AB6" s="175" t="str">
        <f t="shared" si="1"/>
        <v>T.Ba</v>
      </c>
      <c r="AC6" s="175" t="str">
        <f t="shared" si="1"/>
        <v>T.Tư</v>
      </c>
      <c r="AD6" s="175" t="str">
        <f t="shared" si="1"/>
        <v>T.Năm</v>
      </c>
      <c r="AE6" s="175" t="str">
        <f t="shared" si="1"/>
        <v>T.Sáu</v>
      </c>
      <c r="AF6" s="175" t="str">
        <f t="shared" si="1"/>
        <v>T.Bảy</v>
      </c>
      <c r="AG6" s="175" t="str">
        <f t="shared" si="1"/>
        <v>C.Nhật</v>
      </c>
      <c r="AH6" s="175" t="str">
        <f t="shared" si="1"/>
        <v>T.Hai</v>
      </c>
      <c r="AI6" s="175" t="str">
        <f t="shared" si="1"/>
        <v>T.Ba</v>
      </c>
      <c r="AJ6" s="175" t="str">
        <f t="shared" si="1"/>
        <v>T.Tư</v>
      </c>
      <c r="AK6" s="176" t="s">
        <v>16</v>
      </c>
      <c r="AL6" s="176" t="s">
        <v>31</v>
      </c>
      <c r="AM6" s="177" t="s">
        <v>17</v>
      </c>
      <c r="AN6" s="266"/>
      <c r="AO6" s="266"/>
      <c r="AP6" s="266"/>
      <c r="AQ6" s="266"/>
      <c r="AR6" s="266"/>
      <c r="AS6" s="263"/>
      <c r="AT6" s="26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0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171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53">
        <v>1</v>
      </c>
      <c r="B9" s="253" t="s">
        <v>160</v>
      </c>
      <c r="C9" s="255" t="str">
        <f>VLOOKUP(B9,DS,2,0)</f>
        <v>Lê Kim Ngọc Thảo</v>
      </c>
      <c r="D9" s="257" t="str">
        <f>VLOOKUP(B9,DS,3,0)</f>
        <v>Văn Phòng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>
        <v>8</v>
      </c>
      <c r="K9" s="143">
        <v>8</v>
      </c>
      <c r="L9" s="143"/>
      <c r="M9" s="143">
        <v>8</v>
      </c>
      <c r="N9" s="143">
        <v>8</v>
      </c>
      <c r="O9" s="143">
        <v>8</v>
      </c>
      <c r="P9" s="143">
        <v>8</v>
      </c>
      <c r="Q9" s="143">
        <v>8</v>
      </c>
      <c r="R9" s="143">
        <v>8</v>
      </c>
      <c r="S9" s="143"/>
      <c r="T9" s="143">
        <v>8</v>
      </c>
      <c r="U9" s="143">
        <v>8</v>
      </c>
      <c r="V9" s="143">
        <v>8</v>
      </c>
      <c r="W9" s="143">
        <v>8</v>
      </c>
      <c r="X9" s="143">
        <v>8</v>
      </c>
      <c r="Y9" s="143">
        <v>8</v>
      </c>
      <c r="Z9" s="143"/>
      <c r="AA9" s="143">
        <v>8</v>
      </c>
      <c r="AB9" s="143">
        <v>8</v>
      </c>
      <c r="AC9" s="143">
        <v>8</v>
      </c>
      <c r="AD9" s="143">
        <v>8</v>
      </c>
      <c r="AE9" s="143">
        <v>8</v>
      </c>
      <c r="AF9" s="143">
        <v>8</v>
      </c>
      <c r="AG9" s="143"/>
      <c r="AH9" s="143">
        <v>8</v>
      </c>
      <c r="AI9" s="143">
        <v>8</v>
      </c>
      <c r="AJ9" s="143">
        <v>8</v>
      </c>
      <c r="AK9" s="247">
        <f>((SUM(F9:AJ9))/8)-(SUMIF($F$6:$AJ$6,"C.Nhật",F9:AJ9)/8)</f>
        <v>27</v>
      </c>
      <c r="AL9" s="247">
        <f>SUM(F10:AJ10)/8*1.5</f>
        <v>0</v>
      </c>
      <c r="AM9" s="249">
        <f>SUMIF($F$6:$AJ$6,"C.Nhật",$F9:$AJ10)/8*2</f>
        <v>0</v>
      </c>
      <c r="AN9" s="240">
        <f>SUM(AK9:AM10)</f>
        <v>27</v>
      </c>
      <c r="AO9" s="251">
        <v>0</v>
      </c>
      <c r="AP9" s="240"/>
      <c r="AQ9" s="240"/>
      <c r="AR9" s="240"/>
      <c r="AS9" s="242"/>
      <c r="AT9" s="20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4"/>
      <c r="B10" s="254"/>
      <c r="C10" s="256"/>
      <c r="D10" s="258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8"/>
      <c r="AL10" s="248"/>
      <c r="AM10" s="250"/>
      <c r="AN10" s="241"/>
      <c r="AO10" s="252"/>
      <c r="AP10" s="241"/>
      <c r="AQ10" s="241"/>
      <c r="AR10" s="241"/>
      <c r="AS10" s="243"/>
      <c r="AT10" s="20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3">
        <f>A7+1</f>
        <v>2</v>
      </c>
      <c r="B11" s="253" t="s">
        <v>161</v>
      </c>
      <c r="C11" s="255" t="str">
        <f>VLOOKUP(B11,DS,2,0)</f>
        <v>Lê Hoàng Diệu</v>
      </c>
      <c r="D11" s="257" t="str">
        <f>VLOOKUP(B11,DS,3,0)</f>
        <v>Kinh Doanh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>
        <v>8</v>
      </c>
      <c r="K11" s="143">
        <v>8</v>
      </c>
      <c r="L11" s="143"/>
      <c r="M11" s="143">
        <v>8</v>
      </c>
      <c r="N11" s="143">
        <v>8</v>
      </c>
      <c r="O11" s="143">
        <v>8</v>
      </c>
      <c r="P11" s="143">
        <v>8</v>
      </c>
      <c r="Q11" s="143">
        <v>8</v>
      </c>
      <c r="R11" s="143">
        <v>8</v>
      </c>
      <c r="S11" s="143"/>
      <c r="T11" s="143">
        <v>8</v>
      </c>
      <c r="U11" s="143">
        <v>8</v>
      </c>
      <c r="V11" s="143">
        <v>8</v>
      </c>
      <c r="W11" s="143">
        <v>8</v>
      </c>
      <c r="X11" s="143">
        <v>8</v>
      </c>
      <c r="Y11" s="143">
        <v>8</v>
      </c>
      <c r="Z11" s="143"/>
      <c r="AA11" s="143">
        <v>8</v>
      </c>
      <c r="AB11" s="143">
        <v>8</v>
      </c>
      <c r="AC11" s="143">
        <v>8</v>
      </c>
      <c r="AD11" s="143">
        <v>8</v>
      </c>
      <c r="AE11" s="143">
        <v>8</v>
      </c>
      <c r="AF11" s="143">
        <v>8</v>
      </c>
      <c r="AG11" s="143"/>
      <c r="AH11" s="143">
        <v>8</v>
      </c>
      <c r="AI11" s="143">
        <v>8</v>
      </c>
      <c r="AJ11" s="143">
        <v>8</v>
      </c>
      <c r="AK11" s="247">
        <f t="shared" ref="AK11" si="2">((SUM(F11:AJ11))/8)-(SUMIF($F$6:$AJ$6,"C.Nhật",F11:AJ11)/8)</f>
        <v>27</v>
      </c>
      <c r="AL11" s="247">
        <f t="shared" ref="AL11" si="3">SUM(F12:AJ12)/8*1.5</f>
        <v>0</v>
      </c>
      <c r="AM11" s="249">
        <f t="shared" ref="AM11:AM13" si="4">SUMIF($F$6:$AJ$6,"C.Nhật",$F11:$AJ12)/8*2</f>
        <v>0</v>
      </c>
      <c r="AN11" s="240">
        <f t="shared" ref="AN11" si="5">SUM(AK11:AM12)</f>
        <v>27</v>
      </c>
      <c r="AO11" s="251">
        <v>0</v>
      </c>
      <c r="AP11" s="240"/>
      <c r="AQ11" s="240"/>
      <c r="AR11" s="240"/>
      <c r="AS11" s="242"/>
      <c r="AT11" s="20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4"/>
      <c r="B12" s="254"/>
      <c r="C12" s="256"/>
      <c r="D12" s="258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8"/>
      <c r="AL12" s="248"/>
      <c r="AM12" s="250"/>
      <c r="AN12" s="241"/>
      <c r="AO12" s="252"/>
      <c r="AP12" s="241"/>
      <c r="AQ12" s="241"/>
      <c r="AR12" s="241"/>
      <c r="AS12" s="243"/>
      <c r="AT12" s="20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3">
        <f>A9+1</f>
        <v>2</v>
      </c>
      <c r="B13" s="253" t="s">
        <v>168</v>
      </c>
      <c r="C13" s="255" t="str">
        <f>VLOOKUP(B13,DS,2,0)</f>
        <v>Trần Hòa Toản</v>
      </c>
      <c r="D13" s="257" t="str">
        <f>VLOOKUP(B13,DS,3,0)</f>
        <v>Tài xế</v>
      </c>
      <c r="E13" s="68" t="s">
        <v>32</v>
      </c>
      <c r="F13" s="143">
        <v>8</v>
      </c>
      <c r="G13" s="143">
        <v>8</v>
      </c>
      <c r="H13" s="143">
        <v>8</v>
      </c>
      <c r="I13" s="143">
        <v>8</v>
      </c>
      <c r="J13" s="143">
        <v>8</v>
      </c>
      <c r="K13" s="143">
        <v>8</v>
      </c>
      <c r="L13" s="143"/>
      <c r="M13" s="143">
        <v>8</v>
      </c>
      <c r="N13" s="143">
        <v>8</v>
      </c>
      <c r="O13" s="143">
        <v>8</v>
      </c>
      <c r="P13" s="143">
        <v>8</v>
      </c>
      <c r="Q13" s="143">
        <v>8</v>
      </c>
      <c r="R13" s="143">
        <v>8</v>
      </c>
      <c r="S13" s="143"/>
      <c r="T13" s="143">
        <v>8</v>
      </c>
      <c r="U13" s="143">
        <v>8</v>
      </c>
      <c r="V13" s="143">
        <v>8</v>
      </c>
      <c r="W13" s="143">
        <v>8</v>
      </c>
      <c r="X13" s="143">
        <v>8</v>
      </c>
      <c r="Y13" s="143">
        <v>8</v>
      </c>
      <c r="Z13" s="143"/>
      <c r="AA13" s="143">
        <v>8</v>
      </c>
      <c r="AB13" s="143">
        <v>8</v>
      </c>
      <c r="AC13" s="143">
        <v>8</v>
      </c>
      <c r="AD13" s="143">
        <v>8</v>
      </c>
      <c r="AE13" s="143">
        <v>8</v>
      </c>
      <c r="AF13" s="143">
        <v>8</v>
      </c>
      <c r="AG13" s="143"/>
      <c r="AH13" s="143">
        <v>8</v>
      </c>
      <c r="AI13" s="143">
        <v>8</v>
      </c>
      <c r="AJ13" s="143">
        <v>8</v>
      </c>
      <c r="AK13" s="247">
        <f t="shared" ref="AK13" si="6">((SUM(F13:AJ13))/8)-(SUMIF($F$6:$AJ$6,"C.Nhật",F13:AJ13)/8)</f>
        <v>27</v>
      </c>
      <c r="AL13" s="247">
        <f t="shared" ref="AL13" si="7">SUM(F14:AJ14)/8*1.5</f>
        <v>0</v>
      </c>
      <c r="AM13" s="249">
        <f t="shared" si="4"/>
        <v>0</v>
      </c>
      <c r="AN13" s="240">
        <f t="shared" ref="AN13" si="8">SUM(AK13:AM14)</f>
        <v>27</v>
      </c>
      <c r="AO13" s="251">
        <v>0</v>
      </c>
      <c r="AP13" s="240"/>
      <c r="AQ13" s="240"/>
      <c r="AR13" s="240"/>
      <c r="AS13" s="242"/>
      <c r="AT13" s="201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4"/>
      <c r="B14" s="254"/>
      <c r="C14" s="256"/>
      <c r="D14" s="258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48"/>
      <c r="AL14" s="248"/>
      <c r="AM14" s="250"/>
      <c r="AN14" s="241"/>
      <c r="AO14" s="252"/>
      <c r="AP14" s="241"/>
      <c r="AQ14" s="241"/>
      <c r="AR14" s="241"/>
      <c r="AS14" s="243"/>
      <c r="AT14" s="201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159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53">
        <v>1</v>
      </c>
      <c r="B16" s="253" t="s">
        <v>162</v>
      </c>
      <c r="C16" s="255" t="str">
        <f>VLOOKUP(B16,DS,2,0)</f>
        <v>Bùi Trường Giang</v>
      </c>
      <c r="D16" s="257" t="str">
        <f>VLOOKUP(B16,DS,3,0)</f>
        <v>Thợ in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>
        <v>8</v>
      </c>
      <c r="K16" s="143">
        <v>8</v>
      </c>
      <c r="L16" s="143"/>
      <c r="M16" s="143">
        <v>8</v>
      </c>
      <c r="N16" s="143">
        <v>8</v>
      </c>
      <c r="O16" s="143">
        <v>8</v>
      </c>
      <c r="P16" s="143">
        <v>8</v>
      </c>
      <c r="Q16" s="143">
        <v>8</v>
      </c>
      <c r="R16" s="143">
        <v>8</v>
      </c>
      <c r="S16" s="143"/>
      <c r="T16" s="143">
        <v>8</v>
      </c>
      <c r="U16" s="143">
        <v>8</v>
      </c>
      <c r="V16" s="143">
        <v>8</v>
      </c>
      <c r="W16" s="143">
        <v>8</v>
      </c>
      <c r="X16" s="143">
        <v>8</v>
      </c>
      <c r="Y16" s="143">
        <v>8</v>
      </c>
      <c r="Z16" s="143"/>
      <c r="AA16" s="143">
        <v>8</v>
      </c>
      <c r="AB16" s="143">
        <v>8</v>
      </c>
      <c r="AC16" s="143">
        <v>8</v>
      </c>
      <c r="AD16" s="143">
        <v>8</v>
      </c>
      <c r="AE16" s="143">
        <v>8</v>
      </c>
      <c r="AF16" s="143">
        <v>8</v>
      </c>
      <c r="AG16" s="143"/>
      <c r="AH16" s="143">
        <v>8</v>
      </c>
      <c r="AI16" s="143">
        <v>8</v>
      </c>
      <c r="AJ16" s="143">
        <v>8</v>
      </c>
      <c r="AK16" s="247">
        <f t="shared" ref="AK16" si="9">((SUM(F16:AJ16))/8)-(SUMIF($F$6:$AJ$6,"C.Nhật",F16:AJ16)/8)</f>
        <v>27</v>
      </c>
      <c r="AL16" s="247">
        <f t="shared" ref="AL16" si="10">SUM(F17:AJ17)/8*1.5</f>
        <v>0</v>
      </c>
      <c r="AM16" s="249">
        <f>SUMIF($F$6:$AJ$6,"C.Nhật",$F16:$AJ17)/8*2</f>
        <v>0</v>
      </c>
      <c r="AN16" s="240">
        <f>SUM(AK16:AM17)</f>
        <v>27</v>
      </c>
      <c r="AO16" s="251">
        <v>0</v>
      </c>
      <c r="AP16" s="240"/>
      <c r="AQ16" s="240"/>
      <c r="AR16" s="240"/>
      <c r="AS16" s="242"/>
      <c r="AT16" s="20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4"/>
      <c r="B17" s="254"/>
      <c r="C17" s="256"/>
      <c r="D17" s="258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8"/>
      <c r="AL17" s="248"/>
      <c r="AM17" s="250"/>
      <c r="AN17" s="241"/>
      <c r="AO17" s="252"/>
      <c r="AP17" s="241"/>
      <c r="AQ17" s="241"/>
      <c r="AR17" s="241"/>
      <c r="AS17" s="243"/>
      <c r="AT17" s="20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3">
        <f>A16+1</f>
        <v>2</v>
      </c>
      <c r="B18" s="253" t="s">
        <v>163</v>
      </c>
      <c r="C18" s="255" t="str">
        <f>VLOOKUP(B18,DS,2,0)</f>
        <v>Huỳnh Thanh Tùng</v>
      </c>
      <c r="D18" s="257" t="str">
        <f>VLOOKUP(B18,DS,3,0)</f>
        <v>Thợ đóng - xả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>
        <v>8</v>
      </c>
      <c r="K18" s="143">
        <v>8</v>
      </c>
      <c r="L18" s="143"/>
      <c r="M18" s="143">
        <v>8</v>
      </c>
      <c r="N18" s="143">
        <v>8</v>
      </c>
      <c r="O18" s="143">
        <v>8</v>
      </c>
      <c r="P18" s="143">
        <v>8</v>
      </c>
      <c r="Q18" s="143">
        <v>8</v>
      </c>
      <c r="R18" s="143">
        <v>8</v>
      </c>
      <c r="S18" s="143"/>
      <c r="T18" s="143">
        <v>8</v>
      </c>
      <c r="U18" s="143">
        <v>8</v>
      </c>
      <c r="V18" s="143">
        <v>8</v>
      </c>
      <c r="W18" s="143">
        <v>8</v>
      </c>
      <c r="X18" s="143">
        <v>8</v>
      </c>
      <c r="Y18" s="143">
        <v>8</v>
      </c>
      <c r="Z18" s="143"/>
      <c r="AA18" s="143">
        <v>8</v>
      </c>
      <c r="AB18" s="143">
        <v>8</v>
      </c>
      <c r="AC18" s="143">
        <v>8</v>
      </c>
      <c r="AD18" s="143">
        <v>8</v>
      </c>
      <c r="AE18" s="143">
        <v>8</v>
      </c>
      <c r="AF18" s="143">
        <v>8</v>
      </c>
      <c r="AG18" s="143"/>
      <c r="AH18" s="143">
        <v>8</v>
      </c>
      <c r="AI18" s="143">
        <v>8</v>
      </c>
      <c r="AJ18" s="143">
        <v>8</v>
      </c>
      <c r="AK18" s="247">
        <f t="shared" ref="AK18" si="11">((SUM(F18:AJ18))/8)-(SUMIF($F$6:$AJ$6,"C.Nhật",F18:AJ18)/8)</f>
        <v>27</v>
      </c>
      <c r="AL18" s="247">
        <f t="shared" ref="AL18" si="12">SUM(F19:AJ19)/8*1.5</f>
        <v>0</v>
      </c>
      <c r="AM18" s="249">
        <f>SUMIF($F$6:$AJ$6,"C.Nhật",$F18:$AJ19)/8*2</f>
        <v>0</v>
      </c>
      <c r="AN18" s="240">
        <f t="shared" ref="AN18" si="13">SUM(AK18:AM19)</f>
        <v>27</v>
      </c>
      <c r="AO18" s="251">
        <v>0</v>
      </c>
      <c r="AP18" s="240"/>
      <c r="AQ18" s="240"/>
      <c r="AR18" s="240"/>
      <c r="AS18" s="242"/>
      <c r="AT18" s="20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4"/>
      <c r="B19" s="254"/>
      <c r="C19" s="256"/>
      <c r="D19" s="258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8"/>
      <c r="AL19" s="248"/>
      <c r="AM19" s="250"/>
      <c r="AN19" s="241"/>
      <c r="AO19" s="252"/>
      <c r="AP19" s="241"/>
      <c r="AQ19" s="241"/>
      <c r="AR19" s="241"/>
      <c r="AS19" s="243"/>
      <c r="AT19" s="20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3">
        <f t="shared" ref="A20" si="14">A18+1</f>
        <v>3</v>
      </c>
      <c r="B20" s="253" t="s">
        <v>164</v>
      </c>
      <c r="C20" s="255" t="str">
        <f>VLOOKUP(B20,DS,2,0)</f>
        <v>Danh Sà Phép</v>
      </c>
      <c r="D20" s="257" t="str">
        <f>VLOOKUP(B20,DS,3,0)</f>
        <v>Công nhân</v>
      </c>
      <c r="E20" s="68" t="s">
        <v>32</v>
      </c>
      <c r="F20" s="143">
        <v>8</v>
      </c>
      <c r="G20" s="143">
        <v>8</v>
      </c>
      <c r="H20" s="143">
        <v>8</v>
      </c>
      <c r="I20" s="143">
        <v>8</v>
      </c>
      <c r="J20" s="143">
        <v>8</v>
      </c>
      <c r="K20" s="143">
        <v>8</v>
      </c>
      <c r="L20" s="143"/>
      <c r="M20" s="143">
        <v>8</v>
      </c>
      <c r="N20" s="143">
        <v>8</v>
      </c>
      <c r="O20" s="143">
        <v>8</v>
      </c>
      <c r="P20" s="143">
        <v>8</v>
      </c>
      <c r="Q20" s="143">
        <v>8</v>
      </c>
      <c r="R20" s="143">
        <v>8</v>
      </c>
      <c r="S20" s="143"/>
      <c r="T20" s="143">
        <v>8</v>
      </c>
      <c r="U20" s="143">
        <v>8</v>
      </c>
      <c r="V20" s="143">
        <v>8</v>
      </c>
      <c r="W20" s="143">
        <v>8</v>
      </c>
      <c r="X20" s="143">
        <v>8</v>
      </c>
      <c r="Y20" s="143">
        <v>8</v>
      </c>
      <c r="Z20" s="143"/>
      <c r="AA20" s="143">
        <v>8</v>
      </c>
      <c r="AB20" s="143">
        <v>8</v>
      </c>
      <c r="AC20" s="143">
        <v>8</v>
      </c>
      <c r="AD20" s="143">
        <v>8</v>
      </c>
      <c r="AE20" s="143">
        <v>8</v>
      </c>
      <c r="AF20" s="143">
        <v>8</v>
      </c>
      <c r="AG20" s="143"/>
      <c r="AH20" s="143">
        <v>8</v>
      </c>
      <c r="AI20" s="143">
        <v>8</v>
      </c>
      <c r="AJ20" s="143">
        <v>8</v>
      </c>
      <c r="AK20" s="247">
        <f t="shared" ref="AK20" si="15">((SUM(F20:AJ20))/8)-(SUMIF($F$6:$AJ$6,"C.Nhật",F20:AJ20)/8)</f>
        <v>27</v>
      </c>
      <c r="AL20" s="247">
        <f t="shared" ref="AL20" si="16">SUM(F21:AJ21)/8*1.5</f>
        <v>0</v>
      </c>
      <c r="AM20" s="249">
        <f>SUMIF($F$6:$AJ$6,"C.Nhật",$F20:$AJ21)/8*2</f>
        <v>0</v>
      </c>
      <c r="AN20" s="240">
        <f t="shared" ref="AN20" si="17">SUM(AK20:AM21)</f>
        <v>27</v>
      </c>
      <c r="AO20" s="251">
        <v>0</v>
      </c>
      <c r="AP20" s="240"/>
      <c r="AQ20" s="240"/>
      <c r="AR20" s="240"/>
      <c r="AS20" s="242"/>
      <c r="AT20" s="201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4"/>
      <c r="B21" s="254"/>
      <c r="C21" s="256"/>
      <c r="D21" s="258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8"/>
      <c r="AL21" s="248"/>
      <c r="AM21" s="250"/>
      <c r="AN21" s="241"/>
      <c r="AO21" s="252"/>
      <c r="AP21" s="241"/>
      <c r="AQ21" s="241"/>
      <c r="AR21" s="241"/>
      <c r="AS21" s="243"/>
      <c r="AT21" s="201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199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199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3:3" ht="15" customHeight="1">
      <c r="C33" s="2" t="s">
        <v>49</v>
      </c>
    </row>
    <row r="34" spans="3:3" ht="15" customHeight="1">
      <c r="C34" s="2" t="s">
        <v>50</v>
      </c>
    </row>
    <row r="35" spans="3:3" ht="15" customHeight="1">
      <c r="C35" s="2" t="s">
        <v>51</v>
      </c>
    </row>
    <row r="36" spans="3:3" ht="15" customHeight="1">
      <c r="C36" s="2" t="s">
        <v>52</v>
      </c>
    </row>
    <row r="37" spans="3:3" ht="15" customHeight="1">
      <c r="C37" s="2" t="s">
        <v>53</v>
      </c>
    </row>
    <row r="38" spans="3:3" ht="15" customHeight="1">
      <c r="C38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C16:E21 A16:A21" name="Range1_6_2"/>
    <protectedRange password="CC78" sqref="B16:B21" name="Range1_4_2"/>
  </protectedRanges>
  <mergeCells count="92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1:A12"/>
    <mergeCell ref="B11:B12"/>
    <mergeCell ref="C11:C12"/>
    <mergeCell ref="D11:D12"/>
    <mergeCell ref="AK11:AK12"/>
    <mergeCell ref="AN11:AN12"/>
    <mergeCell ref="AO11:AO12"/>
    <mergeCell ref="AM9:AM10"/>
    <mergeCell ref="AN9:AN10"/>
    <mergeCell ref="AO9:AO10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S13:AS14"/>
    <mergeCell ref="AP13:AP14"/>
    <mergeCell ref="AQ13:AQ14"/>
    <mergeCell ref="AR13:AR14"/>
    <mergeCell ref="AL11:AL12"/>
    <mergeCell ref="AM11:AM12"/>
    <mergeCell ref="AM13:AM14"/>
    <mergeCell ref="AN13:AN14"/>
    <mergeCell ref="AO13:AO14"/>
    <mergeCell ref="A16:A17"/>
    <mergeCell ref="B16:B17"/>
    <mergeCell ref="C16:C17"/>
    <mergeCell ref="D16:D17"/>
    <mergeCell ref="AK16:AK17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L16:AL17"/>
    <mergeCell ref="AM16:AM17"/>
    <mergeCell ref="AN16:AN17"/>
    <mergeCell ref="AO16:AO17"/>
    <mergeCell ref="AL20:AL21"/>
    <mergeCell ref="AM20:AM21"/>
    <mergeCell ref="AN20:AN21"/>
    <mergeCell ref="AO20:AO21"/>
    <mergeCell ref="AM18:AM19"/>
    <mergeCell ref="AN18:AN19"/>
    <mergeCell ref="AO18:AO19"/>
    <mergeCell ref="A20:A21"/>
    <mergeCell ref="B20:B21"/>
    <mergeCell ref="C20:C21"/>
    <mergeCell ref="D20:D21"/>
    <mergeCell ref="AK20:AK21"/>
    <mergeCell ref="AP20:AP21"/>
    <mergeCell ref="AQ20:AQ21"/>
    <mergeCell ref="AR20:AR21"/>
    <mergeCell ref="AS20:AS21"/>
    <mergeCell ref="AS18:AS19"/>
    <mergeCell ref="AP18:AP19"/>
    <mergeCell ref="AQ18:AQ19"/>
    <mergeCell ref="AR18:AR19"/>
  </mergeCells>
  <conditionalFormatting sqref="F5:AJ6 F9:AJ14 F16:AJ21">
    <cfRule type="expression" dxfId="68" priority="12" stopIfTrue="1">
      <formula>IF(WEEKDAY(F$5)=1,TRUE,FALSE)</formula>
    </cfRule>
  </conditionalFormatting>
  <conditionalFormatting sqref="F9:AJ14">
    <cfRule type="expression" dxfId="67" priority="11" stopIfTrue="1">
      <formula>IF(WEEKDAY(F$5)=1,TRUE,FALSE)</formula>
    </cfRule>
  </conditionalFormatting>
  <conditionalFormatting sqref="F16:AJ21">
    <cfRule type="expression" dxfId="66" priority="10" stopIfTrue="1">
      <formula>IF(WEEKDAY(F$5)=1,TRUE,FALSE)</formula>
    </cfRule>
  </conditionalFormatting>
  <conditionalFormatting sqref="F16:AJ21">
    <cfRule type="expression" dxfId="65" priority="9" stopIfTrue="1">
      <formula>IF(WEEKDAY(F$5)=1,TRUE,FALSE)</formula>
    </cfRule>
  </conditionalFormatting>
  <conditionalFormatting sqref="F16:AI21">
    <cfRule type="expression" dxfId="64" priority="8" stopIfTrue="1">
      <formula>IF(WEEKDAY(F$5)=1,TRUE,FALSE)</formula>
    </cfRule>
  </conditionalFormatting>
  <conditionalFormatting sqref="F16:AJ21">
    <cfRule type="expression" dxfId="63" priority="7" stopIfTrue="1">
      <formula>IF(WEEKDAY(F$5)=1,TRUE,FALSE)</formula>
    </cfRule>
  </conditionalFormatting>
  <conditionalFormatting sqref="F16:AI21">
    <cfRule type="expression" dxfId="62" priority="6" stopIfTrue="1">
      <formula>IF(WEEKDAY(F$5)=1,TRUE,FALSE)</formula>
    </cfRule>
  </conditionalFormatting>
  <conditionalFormatting sqref="F16:AJ21">
    <cfRule type="expression" dxfId="61" priority="5" stopIfTrue="1">
      <formula>IF(WEEKDAY(F$5)=1,TRUE,FALSE)</formula>
    </cfRule>
  </conditionalFormatting>
  <conditionalFormatting sqref="F16:AJ21">
    <cfRule type="expression" dxfId="60" priority="4" stopIfTrue="1">
      <formula>IF(WEEKDAY(F$5)=1,TRUE,FALSE)</formula>
    </cfRule>
  </conditionalFormatting>
  <conditionalFormatting sqref="F16:AJ21">
    <cfRule type="expression" dxfId="59" priority="3" stopIfTrue="1">
      <formula>IF(WEEKDAY(F$5)=1,TRUE,FALSE)</formula>
    </cfRule>
  </conditionalFormatting>
  <conditionalFormatting sqref="F16:AJ21">
    <cfRule type="expression" dxfId="58" priority="2" stopIfTrue="1">
      <formula>IF(WEEKDAY(F$5)=1,TRUE,FALSE)</formula>
    </cfRule>
  </conditionalFormatting>
  <conditionalFormatting sqref="F16:AJ21">
    <cfRule type="expression" dxfId="57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D12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S20" activeCellId="1" sqref="S14 S20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03"/>
      <c r="C1" s="203"/>
      <c r="D1" s="277" t="str">
        <f>"BẢNG THANH TOÁN LƯƠNG THÁNG"&amp;" "&amp;TEXT($E$4,"mm")&amp;" / "&amp;TEXT($E$4,"yyyy")</f>
        <v>BẢNG THANH TOÁN LƯƠNG THÁNG 08 / 2011</v>
      </c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8"/>
      <c r="R1" s="271" t="s">
        <v>170</v>
      </c>
      <c r="S1" s="272"/>
      <c r="T1" s="273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03"/>
      <c r="C2" s="203"/>
      <c r="D2" s="203"/>
      <c r="E2" s="81"/>
      <c r="F2" s="203"/>
      <c r="G2" s="203"/>
      <c r="H2" s="203"/>
      <c r="I2" s="203"/>
      <c r="J2" s="82"/>
      <c r="K2" s="203"/>
      <c r="L2" s="203"/>
      <c r="M2" s="203"/>
      <c r="N2" s="203"/>
      <c r="O2" s="203"/>
      <c r="P2" s="203"/>
      <c r="Q2" s="203"/>
      <c r="R2" s="203"/>
      <c r="S2" s="203"/>
      <c r="T2" s="59"/>
      <c r="U2" s="80"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03"/>
      <c r="C3" s="203"/>
      <c r="D3" s="203"/>
      <c r="E3" s="81"/>
      <c r="F3" s="203"/>
      <c r="G3" s="203"/>
      <c r="H3" s="203"/>
      <c r="I3" s="203"/>
      <c r="J3" s="82"/>
      <c r="K3" s="203"/>
      <c r="L3" s="203"/>
      <c r="M3" s="203"/>
      <c r="N3" s="203"/>
      <c r="O3" s="203"/>
      <c r="P3" s="203"/>
      <c r="Q3" s="203"/>
      <c r="R3" s="203"/>
      <c r="S3" s="203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- 8'!$E$4</f>
        <v>40756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9" t="s">
        <v>19</v>
      </c>
      <c r="B5" s="279" t="s">
        <v>20</v>
      </c>
      <c r="C5" s="233" t="s">
        <v>1</v>
      </c>
      <c r="D5" s="233" t="s">
        <v>2</v>
      </c>
      <c r="E5" s="228" t="s">
        <v>56</v>
      </c>
      <c r="F5" s="281" t="s">
        <v>26</v>
      </c>
      <c r="G5" s="283"/>
      <c r="H5" s="283"/>
      <c r="I5" s="283"/>
      <c r="J5" s="283"/>
      <c r="K5" s="282"/>
      <c r="L5" s="268" t="s">
        <v>57</v>
      </c>
      <c r="M5" s="268" t="s">
        <v>5</v>
      </c>
      <c r="N5" s="233" t="s">
        <v>6</v>
      </c>
      <c r="O5" s="233"/>
      <c r="P5" s="233"/>
      <c r="Q5" s="268" t="s">
        <v>7</v>
      </c>
      <c r="R5" s="268" t="s">
        <v>8</v>
      </c>
      <c r="S5" s="268" t="s">
        <v>9</v>
      </c>
      <c r="T5" s="22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80"/>
      <c r="B6" s="280"/>
      <c r="C6" s="233"/>
      <c r="D6" s="233"/>
      <c r="E6" s="228"/>
      <c r="F6" s="281" t="s">
        <v>59</v>
      </c>
      <c r="G6" s="282"/>
      <c r="H6" s="281" t="s">
        <v>158</v>
      </c>
      <c r="I6" s="283"/>
      <c r="J6" s="284" t="s">
        <v>27</v>
      </c>
      <c r="K6" s="268" t="s">
        <v>4</v>
      </c>
      <c r="L6" s="269"/>
      <c r="M6" s="269"/>
      <c r="N6" s="274" t="s">
        <v>12</v>
      </c>
      <c r="O6" s="268" t="s">
        <v>13</v>
      </c>
      <c r="P6" s="268" t="s">
        <v>34</v>
      </c>
      <c r="Q6" s="269"/>
      <c r="R6" s="269"/>
      <c r="S6" s="269"/>
      <c r="T6" s="23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80"/>
      <c r="B7" s="280"/>
      <c r="C7" s="268"/>
      <c r="D7" s="268"/>
      <c r="E7" s="228"/>
      <c r="F7" s="202" t="s">
        <v>40</v>
      </c>
      <c r="G7" s="200" t="s">
        <v>18</v>
      </c>
      <c r="H7" s="202" t="s">
        <v>40</v>
      </c>
      <c r="I7" s="128" t="s">
        <v>18</v>
      </c>
      <c r="J7" s="285"/>
      <c r="K7" s="269"/>
      <c r="L7" s="270"/>
      <c r="M7" s="270"/>
      <c r="N7" s="275"/>
      <c r="O7" s="269"/>
      <c r="P7" s="269"/>
      <c r="Q7" s="269"/>
      <c r="R7" s="269"/>
      <c r="S7" s="269"/>
      <c r="T7" s="23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171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160</v>
      </c>
      <c r="C10" s="89" t="str">
        <f t="shared" ref="C10:C12" si="0">VLOOKUP(B10,DS,2,0)</f>
        <v>Lê Kim Ngọc Thảo</v>
      </c>
      <c r="D10" s="116" t="str">
        <f t="shared" ref="D10:D12" si="1">VLOOKUP(B10,DS,3,0)</f>
        <v>Văn Phòng</v>
      </c>
      <c r="E10" s="90">
        <f t="shared" ref="E10:E12" si="2">VLOOKUP(B10,DS,4,0)</f>
        <v>2500000</v>
      </c>
      <c r="F10" s="92">
        <f>VLOOKUP(B10,'CC - 8'!$B$8:$AS$21,36,0)</f>
        <v>27</v>
      </c>
      <c r="G10" s="145">
        <f t="shared" ref="G10:G12" si="3">ROUND(E10/$U$2*F10,0)</f>
        <v>2500000</v>
      </c>
      <c r="H10" s="92">
        <f>(VLOOKUP(B10,'CC - 8'!$B$8:$AS$21,37,0)+VLOOKUP(B10,'CC - 8'!$B$8:$AS$21,38,0))</f>
        <v>0</v>
      </c>
      <c r="I10" s="145">
        <f t="shared" ref="I10:I12" si="4">ROUND(E10/$U$2*H10,0)</f>
        <v>0</v>
      </c>
      <c r="J10" s="93">
        <f t="shared" ref="J10:K12" si="5">F10+H10</f>
        <v>27</v>
      </c>
      <c r="K10" s="39">
        <f>G10+I10</f>
        <v>2500000</v>
      </c>
      <c r="L10" s="90">
        <f t="shared" ref="L10:L12" si="6">+F10*15000</f>
        <v>405000</v>
      </c>
      <c r="M10" s="40">
        <f t="shared" ref="M10:M12" si="7">K10+L10</f>
        <v>2905000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2905000</v>
      </c>
      <c r="R10" s="39">
        <f>VLOOKUP(B10,DS,23,0)</f>
        <v>0</v>
      </c>
      <c r="S10" s="45">
        <f t="shared" ref="S10:S12" si="9">Q10-R10</f>
        <v>2905000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161</v>
      </c>
      <c r="C11" s="89" t="str">
        <f t="shared" si="0"/>
        <v>Lê Hoàng Diệu</v>
      </c>
      <c r="D11" s="116" t="str">
        <f t="shared" si="1"/>
        <v>Kinh Doanh</v>
      </c>
      <c r="E11" s="90">
        <f t="shared" si="2"/>
        <v>2400000</v>
      </c>
      <c r="F11" s="92">
        <f>VLOOKUP(B11,'CC - 8'!$B$8:$AS$21,36,0)</f>
        <v>27</v>
      </c>
      <c r="G11" s="145">
        <f t="shared" si="3"/>
        <v>2400000</v>
      </c>
      <c r="H11" s="92">
        <f>(VLOOKUP(B11,'CC - 8'!$B$8:$AS$21,37,0)+VLOOKUP(B11,'CC - 8'!$B$8:$AS$21,38,0))</f>
        <v>0</v>
      </c>
      <c r="I11" s="145">
        <f t="shared" si="4"/>
        <v>0</v>
      </c>
      <c r="J11" s="93">
        <f t="shared" si="5"/>
        <v>27</v>
      </c>
      <c r="K11" s="39">
        <f t="shared" si="5"/>
        <v>2400000</v>
      </c>
      <c r="L11" s="90">
        <f t="shared" si="6"/>
        <v>405000</v>
      </c>
      <c r="M11" s="40">
        <f t="shared" si="7"/>
        <v>2805000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2805000</v>
      </c>
      <c r="R11" s="39">
        <f>VLOOKUP(B11,DS,23,0)</f>
        <v>0</v>
      </c>
      <c r="S11" s="45">
        <f t="shared" si="9"/>
        <v>2805000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168</v>
      </c>
      <c r="C12" s="89" t="str">
        <f t="shared" si="0"/>
        <v>Trần Hòa Toản</v>
      </c>
      <c r="D12" s="116" t="str">
        <f t="shared" si="1"/>
        <v>Tài xế</v>
      </c>
      <c r="E12" s="90">
        <f t="shared" si="2"/>
        <v>2350000</v>
      </c>
      <c r="F12" s="92">
        <f>VLOOKUP(B12,'CC - 8'!$B$8:$AS$21,36,0)</f>
        <v>27</v>
      </c>
      <c r="G12" s="145">
        <f t="shared" si="3"/>
        <v>2350000</v>
      </c>
      <c r="H12" s="92">
        <f>(VLOOKUP(B12,'CC - 8'!$B$8:$AS$21,37,0)+VLOOKUP(B12,'CC - 8'!$B$8:$AS$21,38,0))</f>
        <v>0</v>
      </c>
      <c r="I12" s="145">
        <f t="shared" si="4"/>
        <v>0</v>
      </c>
      <c r="J12" s="93">
        <f t="shared" si="5"/>
        <v>27</v>
      </c>
      <c r="K12" s="39">
        <f t="shared" si="5"/>
        <v>2350000</v>
      </c>
      <c r="L12" s="90">
        <f t="shared" si="6"/>
        <v>405000</v>
      </c>
      <c r="M12" s="40">
        <f t="shared" si="7"/>
        <v>2755000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2755000</v>
      </c>
      <c r="R12" s="39">
        <f>VLOOKUP(B12,DS,23,0)</f>
        <v>0</v>
      </c>
      <c r="S12" s="45">
        <f t="shared" si="9"/>
        <v>2755000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76" t="s">
        <v>25</v>
      </c>
      <c r="B14" s="276"/>
      <c r="C14" s="276"/>
      <c r="D14" s="276"/>
      <c r="E14" s="140">
        <f>SUM(E9:E12)</f>
        <v>7250000</v>
      </c>
      <c r="F14" s="140"/>
      <c r="G14" s="140">
        <f>SUM(G9:G12)</f>
        <v>7250000</v>
      </c>
      <c r="H14" s="140"/>
      <c r="I14" s="140">
        <f>SUM(I9:I12)</f>
        <v>0</v>
      </c>
      <c r="J14" s="140"/>
      <c r="K14" s="140">
        <f t="shared" ref="K14:S14" si="10">SUM(K9:K12)</f>
        <v>7250000</v>
      </c>
      <c r="L14" s="140">
        <f t="shared" si="10"/>
        <v>1215000</v>
      </c>
      <c r="M14" s="140">
        <f t="shared" si="10"/>
        <v>8465000</v>
      </c>
      <c r="N14" s="140">
        <f t="shared" si="10"/>
        <v>0</v>
      </c>
      <c r="O14" s="140">
        <f t="shared" si="10"/>
        <v>0</v>
      </c>
      <c r="P14" s="140">
        <f t="shared" si="10"/>
        <v>0</v>
      </c>
      <c r="Q14" s="140">
        <f t="shared" si="10"/>
        <v>8465000</v>
      </c>
      <c r="R14" s="140">
        <f t="shared" si="10"/>
        <v>0</v>
      </c>
      <c r="S14" s="140">
        <f t="shared" si="10"/>
        <v>8465000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162</v>
      </c>
      <c r="C16" s="89" t="str">
        <f t="shared" ref="C16:C18" si="11">VLOOKUP(B16,DS,2,0)</f>
        <v>Bùi Trường Giang</v>
      </c>
      <c r="D16" s="116" t="str">
        <f t="shared" ref="D16:D18" si="12">VLOOKUP(B16,DS,3,0)</f>
        <v>Thợ in</v>
      </c>
      <c r="E16" s="90">
        <f t="shared" ref="E16:E18" si="13">VLOOKUP(B16,DS,4,0)</f>
        <v>1800000</v>
      </c>
      <c r="F16" s="92">
        <f>VLOOKUP(B16,'CC - 8'!$B$8:$AS$21,36,0)</f>
        <v>27</v>
      </c>
      <c r="G16" s="145">
        <f t="shared" ref="G16:G18" si="14">ROUND(E16/$U$2*F16,0)</f>
        <v>1800000</v>
      </c>
      <c r="H16" s="92">
        <f>(VLOOKUP(B16,'CC - 8'!$B$8:$AS$21,37,0)+VLOOKUP(B16,'CC - 8'!$B$8:$AS$21,38,0))</f>
        <v>0</v>
      </c>
      <c r="I16" s="145">
        <f t="shared" ref="I16:I18" si="15">ROUND(E16/$U$2*H16,0)</f>
        <v>0</v>
      </c>
      <c r="J16" s="146">
        <f t="shared" ref="J16:K18" si="16">F16+H16</f>
        <v>27</v>
      </c>
      <c r="K16" s="39">
        <f t="shared" si="16"/>
        <v>1800000</v>
      </c>
      <c r="L16" s="90">
        <f t="shared" ref="L16:L18" si="17">+F16*15000</f>
        <v>405000</v>
      </c>
      <c r="M16" s="40">
        <f t="shared" ref="M16:M18" si="18">K16+L16</f>
        <v>2205000</v>
      </c>
      <c r="N16" s="40">
        <f>IF(VLOOKUP(B16,DS,9,0)="x",'L - 8'!E16*$N$4,0)</f>
        <v>0</v>
      </c>
      <c r="O16" s="40">
        <f t="shared" ref="O16:O18" si="19">IF(VLOOKUP(B16,DS,9,0)="x",E16*0.015,0)</f>
        <v>0</v>
      </c>
      <c r="P16" s="40">
        <f t="shared" ref="P16:P18" si="20">IF(VLOOKUP(B16,DS,9,0)="x",E16*0.01,0)</f>
        <v>0</v>
      </c>
      <c r="Q16" s="39">
        <f>M16-SUM(N16:P16)</f>
        <v>2205000</v>
      </c>
      <c r="R16" s="39">
        <f t="shared" ref="R16:R18" si="21">VLOOKUP(B16,DS,23,0)</f>
        <v>0</v>
      </c>
      <c r="S16" s="45">
        <f>Q16-R16</f>
        <v>2205000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163</v>
      </c>
      <c r="C17" s="89" t="str">
        <f t="shared" si="11"/>
        <v>Huỳnh Thanh Tùng</v>
      </c>
      <c r="D17" s="116" t="str">
        <f t="shared" si="12"/>
        <v>Thợ đóng - xả</v>
      </c>
      <c r="E17" s="90">
        <f t="shared" si="13"/>
        <v>1800000</v>
      </c>
      <c r="F17" s="92">
        <f>VLOOKUP(B17,'CC - 8'!$B$8:$AS$21,36,0)</f>
        <v>27</v>
      </c>
      <c r="G17" s="145">
        <f t="shared" si="14"/>
        <v>1800000</v>
      </c>
      <c r="H17" s="92">
        <f>(VLOOKUP(B17,'CC - 8'!$B$8:$AS$21,37,0)+VLOOKUP(B17,'CC - 8'!$B$8:$AS$21,38,0))</f>
        <v>0</v>
      </c>
      <c r="I17" s="145">
        <f t="shared" si="15"/>
        <v>0</v>
      </c>
      <c r="J17" s="146">
        <f t="shared" si="16"/>
        <v>27</v>
      </c>
      <c r="K17" s="39">
        <f t="shared" si="16"/>
        <v>1800000</v>
      </c>
      <c r="L17" s="90">
        <f t="shared" si="17"/>
        <v>405000</v>
      </c>
      <c r="M17" s="40">
        <f t="shared" si="18"/>
        <v>2205000</v>
      </c>
      <c r="N17" s="40">
        <f>IF(VLOOKUP(B17,DS,9,0)="x",'L - 8'!E17*$N$4,0)</f>
        <v>0</v>
      </c>
      <c r="O17" s="40">
        <f t="shared" si="19"/>
        <v>0</v>
      </c>
      <c r="P17" s="40">
        <f t="shared" si="20"/>
        <v>0</v>
      </c>
      <c r="Q17" s="39">
        <f t="shared" ref="Q17:Q18" si="22">M17-SUM(N17:P17)</f>
        <v>2205000</v>
      </c>
      <c r="R17" s="39">
        <f t="shared" si="21"/>
        <v>0</v>
      </c>
      <c r="S17" s="45">
        <f t="shared" ref="S17:S18" si="23">Q17-R17</f>
        <v>2205000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164</v>
      </c>
      <c r="C18" s="89" t="str">
        <f t="shared" si="11"/>
        <v>Danh Sà Phép</v>
      </c>
      <c r="D18" s="116" t="str">
        <f t="shared" si="12"/>
        <v>Công nhân</v>
      </c>
      <c r="E18" s="90">
        <f t="shared" si="13"/>
        <v>1500000</v>
      </c>
      <c r="F18" s="92">
        <f>VLOOKUP(B18,'CC - 8'!$B$8:$AS$21,36,0)</f>
        <v>27</v>
      </c>
      <c r="G18" s="145">
        <f t="shared" si="14"/>
        <v>1500000</v>
      </c>
      <c r="H18" s="92">
        <f>(VLOOKUP(B18,'CC - 8'!$B$8:$AS$21,37,0)+VLOOKUP(B18,'CC - 8'!$B$8:$AS$21,38,0))</f>
        <v>0</v>
      </c>
      <c r="I18" s="145">
        <f t="shared" si="15"/>
        <v>0</v>
      </c>
      <c r="J18" s="146">
        <f t="shared" si="16"/>
        <v>27</v>
      </c>
      <c r="K18" s="39">
        <f t="shared" si="16"/>
        <v>1500000</v>
      </c>
      <c r="L18" s="90">
        <f t="shared" si="17"/>
        <v>405000</v>
      </c>
      <c r="M18" s="40">
        <f t="shared" si="18"/>
        <v>1905000</v>
      </c>
      <c r="N18" s="40">
        <f>IF(VLOOKUP(B18,DS,9,0)="x",'L - 8'!E18*$N$4,0)</f>
        <v>0</v>
      </c>
      <c r="O18" s="40">
        <f t="shared" si="19"/>
        <v>0</v>
      </c>
      <c r="P18" s="40">
        <f t="shared" si="20"/>
        <v>0</v>
      </c>
      <c r="Q18" s="39">
        <f t="shared" si="22"/>
        <v>1905000</v>
      </c>
      <c r="R18" s="39">
        <f t="shared" si="21"/>
        <v>0</v>
      </c>
      <c r="S18" s="45">
        <f t="shared" si="23"/>
        <v>1905000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76" t="s">
        <v>25</v>
      </c>
      <c r="B20" s="276"/>
      <c r="C20" s="276"/>
      <c r="D20" s="276"/>
      <c r="E20" s="140">
        <f>SUM(E15:E19)</f>
        <v>5100000</v>
      </c>
      <c r="F20" s="140"/>
      <c r="G20" s="140">
        <f t="shared" ref="G20:S20" si="24">SUM(G15:G19)</f>
        <v>5100000</v>
      </c>
      <c r="H20" s="140"/>
      <c r="I20" s="140">
        <f t="shared" si="24"/>
        <v>0</v>
      </c>
      <c r="J20" s="140"/>
      <c r="K20" s="140">
        <f t="shared" si="24"/>
        <v>5100000</v>
      </c>
      <c r="L20" s="140">
        <f t="shared" si="24"/>
        <v>1215000</v>
      </c>
      <c r="M20" s="140">
        <f t="shared" si="24"/>
        <v>6315000</v>
      </c>
      <c r="N20" s="140">
        <f t="shared" si="24"/>
        <v>0</v>
      </c>
      <c r="O20" s="140">
        <f t="shared" si="24"/>
        <v>0</v>
      </c>
      <c r="P20" s="140">
        <f t="shared" si="24"/>
        <v>0</v>
      </c>
      <c r="Q20" s="140">
        <f t="shared" si="24"/>
        <v>6315000</v>
      </c>
      <c r="R20" s="140">
        <f t="shared" si="24"/>
        <v>0</v>
      </c>
      <c r="S20" s="140">
        <f t="shared" si="24"/>
        <v>6315000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08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AF5:IK13 E5:I6 D20 N5:P6 L5 L23 J6:K7 L7 A26:T59 U32:U59 N19:S19 V26:IK59 W10:W13 J19:L19 A60:IK65327 AF15:IK15 V14:IK14 D14 Q10:S13 A10:B14" name="Range1"/>
    <protectedRange password="CC78" sqref="F7:H7" name="Range1_4"/>
    <protectedRange password="CC78" sqref="V23:IK24 S23:T24 N23:Q24 E23:I24" name="Range1_1_1"/>
    <protectedRange password="CC78" sqref="U1 W1:IK3 V4:IK4 B4:T4 X5:AE13 R2:S3 B1:Q3 U19:U31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Q16:S18 A16:B18 AF16:IK18 W16:W18" name="Range1_5"/>
    <protectedRange password="CC78" sqref="X16:AE18 U16:U18" name="Range1_2_3"/>
    <protectedRange password="CC78" sqref="V16:V18" name="Range1_1_3"/>
    <protectedRange password="CC78" sqref="K16:K18 K10:K13" name="Range1_6"/>
    <protectedRange password="CC78" sqref="A2:A3" name="Range1_2_1_3"/>
    <protectedRange password="CC78" sqref="E14:T14" name="Range1_3"/>
    <protectedRange password="CC78" sqref="E20:T20" name="Range1_7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4:D14"/>
    <mergeCell ref="A20:D20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10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2" sqref="A2:A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9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09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44" t="s">
        <v>170</v>
      </c>
      <c r="AN1" s="245"/>
      <c r="AO1" s="245"/>
      <c r="AP1" s="245"/>
      <c r="AQ1" s="245"/>
      <c r="AR1" s="245"/>
      <c r="AS1" s="246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40787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2" t="s">
        <v>28</v>
      </c>
      <c r="B5" s="262" t="s">
        <v>3</v>
      </c>
      <c r="C5" s="262" t="s">
        <v>1</v>
      </c>
      <c r="D5" s="264" t="s">
        <v>29</v>
      </c>
      <c r="E5" s="262" t="s">
        <v>30</v>
      </c>
      <c r="F5" s="118">
        <f>+E4</f>
        <v>40787</v>
      </c>
      <c r="G5" s="118">
        <f t="shared" ref="G5:AJ5" si="0">F5+1</f>
        <v>40788</v>
      </c>
      <c r="H5" s="118">
        <f t="shared" si="0"/>
        <v>40789</v>
      </c>
      <c r="I5" s="118">
        <f t="shared" si="0"/>
        <v>40790</v>
      </c>
      <c r="J5" s="118">
        <f t="shared" si="0"/>
        <v>40791</v>
      </c>
      <c r="K5" s="118">
        <f t="shared" si="0"/>
        <v>40792</v>
      </c>
      <c r="L5" s="118">
        <f t="shared" si="0"/>
        <v>40793</v>
      </c>
      <c r="M5" s="118">
        <f t="shared" si="0"/>
        <v>40794</v>
      </c>
      <c r="N5" s="118">
        <f t="shared" si="0"/>
        <v>40795</v>
      </c>
      <c r="O5" s="118">
        <f t="shared" si="0"/>
        <v>40796</v>
      </c>
      <c r="P5" s="118">
        <f t="shared" si="0"/>
        <v>40797</v>
      </c>
      <c r="Q5" s="118">
        <f t="shared" si="0"/>
        <v>40798</v>
      </c>
      <c r="R5" s="118">
        <f t="shared" si="0"/>
        <v>40799</v>
      </c>
      <c r="S5" s="118">
        <f t="shared" si="0"/>
        <v>40800</v>
      </c>
      <c r="T5" s="118">
        <f t="shared" si="0"/>
        <v>40801</v>
      </c>
      <c r="U5" s="118">
        <f t="shared" si="0"/>
        <v>40802</v>
      </c>
      <c r="V5" s="118">
        <f t="shared" si="0"/>
        <v>40803</v>
      </c>
      <c r="W5" s="118">
        <f t="shared" si="0"/>
        <v>40804</v>
      </c>
      <c r="X5" s="118">
        <f t="shared" si="0"/>
        <v>40805</v>
      </c>
      <c r="Y5" s="118">
        <f t="shared" si="0"/>
        <v>40806</v>
      </c>
      <c r="Z5" s="118">
        <f t="shared" si="0"/>
        <v>40807</v>
      </c>
      <c r="AA5" s="118">
        <f t="shared" si="0"/>
        <v>40808</v>
      </c>
      <c r="AB5" s="118">
        <f t="shared" si="0"/>
        <v>40809</v>
      </c>
      <c r="AC5" s="118">
        <f t="shared" si="0"/>
        <v>40810</v>
      </c>
      <c r="AD5" s="118">
        <f t="shared" si="0"/>
        <v>40811</v>
      </c>
      <c r="AE5" s="118">
        <f t="shared" si="0"/>
        <v>40812</v>
      </c>
      <c r="AF5" s="118">
        <f t="shared" si="0"/>
        <v>40813</v>
      </c>
      <c r="AG5" s="118">
        <f t="shared" si="0"/>
        <v>40814</v>
      </c>
      <c r="AH5" s="118">
        <f>AG5+1</f>
        <v>40815</v>
      </c>
      <c r="AI5" s="118">
        <f t="shared" si="0"/>
        <v>40816</v>
      </c>
      <c r="AJ5" s="118">
        <f t="shared" si="0"/>
        <v>40817</v>
      </c>
      <c r="AK5" s="259" t="s">
        <v>15</v>
      </c>
      <c r="AL5" s="260"/>
      <c r="AM5" s="261"/>
      <c r="AN5" s="265" t="s">
        <v>45</v>
      </c>
      <c r="AO5" s="265" t="s">
        <v>41</v>
      </c>
      <c r="AP5" s="265" t="s">
        <v>42</v>
      </c>
      <c r="AQ5" s="265" t="s">
        <v>43</v>
      </c>
      <c r="AR5" s="265" t="s">
        <v>44</v>
      </c>
      <c r="AS5" s="264" t="s">
        <v>0</v>
      </c>
      <c r="AT5" s="26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63"/>
      <c r="B6" s="263"/>
      <c r="C6" s="263"/>
      <c r="D6" s="263"/>
      <c r="E6" s="263"/>
      <c r="F6" s="175" t="str">
        <f>CHOOSE(WEEKDAY(F5),"C.Nhật","T.Hai","T.Ba","T.Tư","T.Năm","T.Sáu","T.Bảy")</f>
        <v>T.Năm</v>
      </c>
      <c r="G6" s="175" t="str">
        <f t="shared" ref="G6:AJ6" si="1">CHOOSE(WEEKDAY(G5),"C.Nhật","T.Hai","T.Ba","T.Tư","T.Năm","T.Sáu","T.Bảy")</f>
        <v>T.Sáu</v>
      </c>
      <c r="H6" s="175" t="str">
        <f t="shared" si="1"/>
        <v>T.Bảy</v>
      </c>
      <c r="I6" s="175" t="str">
        <f t="shared" si="1"/>
        <v>C.Nhật</v>
      </c>
      <c r="J6" s="175" t="str">
        <f t="shared" si="1"/>
        <v>T.Hai</v>
      </c>
      <c r="K6" s="175" t="str">
        <f t="shared" si="1"/>
        <v>T.Ba</v>
      </c>
      <c r="L6" s="175" t="str">
        <f t="shared" si="1"/>
        <v>T.Tư</v>
      </c>
      <c r="M6" s="175" t="str">
        <f t="shared" si="1"/>
        <v>T.Năm</v>
      </c>
      <c r="N6" s="175" t="str">
        <f t="shared" si="1"/>
        <v>T.Sáu</v>
      </c>
      <c r="O6" s="175" t="str">
        <f t="shared" si="1"/>
        <v>T.Bảy</v>
      </c>
      <c r="P6" s="175" t="str">
        <f t="shared" si="1"/>
        <v>C.Nhật</v>
      </c>
      <c r="Q6" s="175" t="str">
        <f t="shared" si="1"/>
        <v>T.Hai</v>
      </c>
      <c r="R6" s="175" t="str">
        <f t="shared" si="1"/>
        <v>T.Ba</v>
      </c>
      <c r="S6" s="175" t="str">
        <f t="shared" si="1"/>
        <v>T.Tư</v>
      </c>
      <c r="T6" s="175" t="str">
        <f t="shared" si="1"/>
        <v>T.Năm</v>
      </c>
      <c r="U6" s="175" t="str">
        <f t="shared" si="1"/>
        <v>T.Sáu</v>
      </c>
      <c r="V6" s="175" t="str">
        <f t="shared" si="1"/>
        <v>T.Bảy</v>
      </c>
      <c r="W6" s="175" t="str">
        <f t="shared" si="1"/>
        <v>C.Nhật</v>
      </c>
      <c r="X6" s="175" t="str">
        <f t="shared" si="1"/>
        <v>T.Hai</v>
      </c>
      <c r="Y6" s="175" t="str">
        <f t="shared" si="1"/>
        <v>T.Ba</v>
      </c>
      <c r="Z6" s="175" t="str">
        <f t="shared" si="1"/>
        <v>T.Tư</v>
      </c>
      <c r="AA6" s="175" t="str">
        <f t="shared" si="1"/>
        <v>T.Năm</v>
      </c>
      <c r="AB6" s="175" t="str">
        <f t="shared" si="1"/>
        <v>T.Sáu</v>
      </c>
      <c r="AC6" s="175" t="str">
        <f t="shared" si="1"/>
        <v>T.Bảy</v>
      </c>
      <c r="AD6" s="175" t="str">
        <f t="shared" si="1"/>
        <v>C.Nhật</v>
      </c>
      <c r="AE6" s="175" t="str">
        <f t="shared" si="1"/>
        <v>T.Hai</v>
      </c>
      <c r="AF6" s="175" t="str">
        <f t="shared" si="1"/>
        <v>T.Ba</v>
      </c>
      <c r="AG6" s="175" t="str">
        <f t="shared" si="1"/>
        <v>T.Tư</v>
      </c>
      <c r="AH6" s="175" t="str">
        <f t="shared" si="1"/>
        <v>T.Năm</v>
      </c>
      <c r="AI6" s="175" t="str">
        <f t="shared" si="1"/>
        <v>T.Sáu</v>
      </c>
      <c r="AJ6" s="175" t="str">
        <f t="shared" si="1"/>
        <v>T.Bảy</v>
      </c>
      <c r="AK6" s="176" t="s">
        <v>16</v>
      </c>
      <c r="AL6" s="176" t="s">
        <v>31</v>
      </c>
      <c r="AM6" s="177" t="s">
        <v>17</v>
      </c>
      <c r="AN6" s="266"/>
      <c r="AO6" s="266"/>
      <c r="AP6" s="266"/>
      <c r="AQ6" s="266"/>
      <c r="AR6" s="266"/>
      <c r="AS6" s="263"/>
      <c r="AT6" s="26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0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171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53">
        <v>1</v>
      </c>
      <c r="B9" s="253" t="s">
        <v>160</v>
      </c>
      <c r="C9" s="255" t="str">
        <f>VLOOKUP(B9,DS,2,0)</f>
        <v>Lê Kim Ngọc Thảo</v>
      </c>
      <c r="D9" s="257" t="str">
        <f>VLOOKUP(B9,DS,3,0)</f>
        <v>Văn Phòng</v>
      </c>
      <c r="E9" s="68" t="s">
        <v>32</v>
      </c>
      <c r="F9" s="143">
        <v>8</v>
      </c>
      <c r="G9" s="143"/>
      <c r="H9" s="143">
        <v>8</v>
      </c>
      <c r="I9" s="143"/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/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/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/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143"/>
      <c r="AK9" s="247">
        <f>((SUM(F9:AJ9))/8)-(SUMIF($F$6:$AJ$6,"C.Nhật",F9:AJ9)/8)</f>
        <v>25</v>
      </c>
      <c r="AL9" s="247">
        <f>SUM(F10:AJ10)/8*1.5</f>
        <v>0</v>
      </c>
      <c r="AM9" s="249">
        <f>SUMIF($F$6:$AJ$6,"C.Nhật",$F9:$AJ10)/8*2</f>
        <v>0</v>
      </c>
      <c r="AN9" s="240">
        <f>SUM(AK9:AM10)</f>
        <v>25</v>
      </c>
      <c r="AO9" s="251">
        <v>0</v>
      </c>
      <c r="AP9" s="240"/>
      <c r="AQ9" s="240"/>
      <c r="AR9" s="240"/>
      <c r="AS9" s="242"/>
      <c r="AT9" s="20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4"/>
      <c r="B10" s="254"/>
      <c r="C10" s="256"/>
      <c r="D10" s="258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8"/>
      <c r="AL10" s="248"/>
      <c r="AM10" s="250"/>
      <c r="AN10" s="241"/>
      <c r="AO10" s="252"/>
      <c r="AP10" s="241"/>
      <c r="AQ10" s="241"/>
      <c r="AR10" s="241"/>
      <c r="AS10" s="243"/>
      <c r="AT10" s="20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3">
        <f>A7+1</f>
        <v>2</v>
      </c>
      <c r="B11" s="253" t="s">
        <v>161</v>
      </c>
      <c r="C11" s="255" t="str">
        <f>VLOOKUP(B11,DS,2,0)</f>
        <v>Lê Hoàng Diệu</v>
      </c>
      <c r="D11" s="257" t="str">
        <f>VLOOKUP(B11,DS,3,0)</f>
        <v>Kinh Doanh</v>
      </c>
      <c r="E11" s="68" t="s">
        <v>32</v>
      </c>
      <c r="F11" s="143">
        <v>8</v>
      </c>
      <c r="G11" s="143"/>
      <c r="H11" s="143">
        <v>8</v>
      </c>
      <c r="I11" s="143"/>
      <c r="J11" s="143">
        <v>8</v>
      </c>
      <c r="K11" s="143">
        <v>8</v>
      </c>
      <c r="L11" s="143">
        <v>8</v>
      </c>
      <c r="M11" s="143">
        <v>8</v>
      </c>
      <c r="N11" s="143">
        <v>8</v>
      </c>
      <c r="O11" s="143">
        <v>8</v>
      </c>
      <c r="P11" s="143"/>
      <c r="Q11" s="143">
        <v>8</v>
      </c>
      <c r="R11" s="143">
        <v>8</v>
      </c>
      <c r="S11" s="143">
        <v>8</v>
      </c>
      <c r="T11" s="143">
        <v>8</v>
      </c>
      <c r="U11" s="143">
        <v>8</v>
      </c>
      <c r="V11" s="143">
        <v>8</v>
      </c>
      <c r="W11" s="143"/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>
        <v>8</v>
      </c>
      <c r="AD11" s="143"/>
      <c r="AE11" s="143">
        <v>8</v>
      </c>
      <c r="AF11" s="143">
        <v>8</v>
      </c>
      <c r="AG11" s="143">
        <v>8</v>
      </c>
      <c r="AH11" s="143">
        <v>8</v>
      </c>
      <c r="AI11" s="143">
        <v>8</v>
      </c>
      <c r="AJ11" s="143"/>
      <c r="AK11" s="247">
        <f t="shared" ref="AK11" si="2">((SUM(F11:AJ11))/8)-(SUMIF($F$6:$AJ$6,"C.Nhật",F11:AJ11)/8)</f>
        <v>25</v>
      </c>
      <c r="AL11" s="247">
        <f t="shared" ref="AL11" si="3">SUM(F12:AJ12)/8*1.5</f>
        <v>0</v>
      </c>
      <c r="AM11" s="249">
        <f t="shared" ref="AM11:AM13" si="4">SUMIF($F$6:$AJ$6,"C.Nhật",$F11:$AJ12)/8*2</f>
        <v>0</v>
      </c>
      <c r="AN11" s="240">
        <f t="shared" ref="AN11" si="5">SUM(AK11:AM12)</f>
        <v>25</v>
      </c>
      <c r="AO11" s="251">
        <v>0</v>
      </c>
      <c r="AP11" s="240"/>
      <c r="AQ11" s="240"/>
      <c r="AR11" s="240"/>
      <c r="AS11" s="242"/>
      <c r="AT11" s="20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4"/>
      <c r="B12" s="254"/>
      <c r="C12" s="256"/>
      <c r="D12" s="258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8"/>
      <c r="AL12" s="248"/>
      <c r="AM12" s="250"/>
      <c r="AN12" s="241"/>
      <c r="AO12" s="252"/>
      <c r="AP12" s="241"/>
      <c r="AQ12" s="241"/>
      <c r="AR12" s="241"/>
      <c r="AS12" s="243"/>
      <c r="AT12" s="20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3">
        <f>A9+1</f>
        <v>2</v>
      </c>
      <c r="B13" s="253" t="s">
        <v>168</v>
      </c>
      <c r="C13" s="255" t="str">
        <f>VLOOKUP(B13,DS,2,0)</f>
        <v>Trần Hòa Toản</v>
      </c>
      <c r="D13" s="257" t="str">
        <f>VLOOKUP(B13,DS,3,0)</f>
        <v>Tài xế</v>
      </c>
      <c r="E13" s="68" t="s">
        <v>32</v>
      </c>
      <c r="F13" s="143">
        <v>8</v>
      </c>
      <c r="G13" s="143"/>
      <c r="H13" s="143">
        <v>8</v>
      </c>
      <c r="I13" s="143"/>
      <c r="J13" s="143">
        <v>8</v>
      </c>
      <c r="K13" s="143">
        <v>8</v>
      </c>
      <c r="L13" s="143">
        <v>8</v>
      </c>
      <c r="M13" s="143">
        <v>8</v>
      </c>
      <c r="N13" s="143">
        <v>8</v>
      </c>
      <c r="O13" s="143">
        <v>8</v>
      </c>
      <c r="P13" s="143"/>
      <c r="Q13" s="143">
        <v>8</v>
      </c>
      <c r="R13" s="143">
        <v>8</v>
      </c>
      <c r="S13" s="143">
        <v>8</v>
      </c>
      <c r="T13" s="143">
        <v>8</v>
      </c>
      <c r="U13" s="143">
        <v>8</v>
      </c>
      <c r="V13" s="143">
        <v>8</v>
      </c>
      <c r="W13" s="143"/>
      <c r="X13" s="143">
        <v>8</v>
      </c>
      <c r="Y13" s="143">
        <v>8</v>
      </c>
      <c r="Z13" s="143">
        <v>8</v>
      </c>
      <c r="AA13" s="143">
        <v>8</v>
      </c>
      <c r="AB13" s="143">
        <v>8</v>
      </c>
      <c r="AC13" s="143">
        <v>8</v>
      </c>
      <c r="AD13" s="143"/>
      <c r="AE13" s="143">
        <v>8</v>
      </c>
      <c r="AF13" s="143">
        <v>8</v>
      </c>
      <c r="AG13" s="143">
        <v>8</v>
      </c>
      <c r="AH13" s="143">
        <v>8</v>
      </c>
      <c r="AI13" s="143">
        <v>8</v>
      </c>
      <c r="AJ13" s="143"/>
      <c r="AK13" s="247">
        <f t="shared" ref="AK13" si="6">((SUM(F13:AJ13))/8)-(SUMIF($F$6:$AJ$6,"C.Nhật",F13:AJ13)/8)</f>
        <v>25</v>
      </c>
      <c r="AL13" s="247">
        <f t="shared" ref="AL13" si="7">SUM(F14:AJ14)/8*1.5</f>
        <v>0</v>
      </c>
      <c r="AM13" s="249">
        <f t="shared" si="4"/>
        <v>0</v>
      </c>
      <c r="AN13" s="240">
        <f t="shared" ref="AN13" si="8">SUM(AK13:AM14)</f>
        <v>25</v>
      </c>
      <c r="AO13" s="251">
        <v>0</v>
      </c>
      <c r="AP13" s="240"/>
      <c r="AQ13" s="240"/>
      <c r="AR13" s="240"/>
      <c r="AS13" s="242"/>
      <c r="AT13" s="201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4"/>
      <c r="B14" s="254"/>
      <c r="C14" s="256"/>
      <c r="D14" s="258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48"/>
      <c r="AL14" s="248"/>
      <c r="AM14" s="250"/>
      <c r="AN14" s="241"/>
      <c r="AO14" s="252"/>
      <c r="AP14" s="241"/>
      <c r="AQ14" s="241"/>
      <c r="AR14" s="241"/>
      <c r="AS14" s="243"/>
      <c r="AT14" s="201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159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53">
        <v>1</v>
      </c>
      <c r="B16" s="253" t="s">
        <v>162</v>
      </c>
      <c r="C16" s="255" t="str">
        <f>VLOOKUP(B16,DS,2,0)</f>
        <v>Bùi Trường Giang</v>
      </c>
      <c r="D16" s="257" t="str">
        <f>VLOOKUP(B16,DS,3,0)</f>
        <v>Thợ in</v>
      </c>
      <c r="E16" s="68" t="s">
        <v>32</v>
      </c>
      <c r="F16" s="143">
        <v>8</v>
      </c>
      <c r="G16" s="143"/>
      <c r="H16" s="143">
        <v>8</v>
      </c>
      <c r="I16" s="143"/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/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/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/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143"/>
      <c r="AK16" s="247">
        <f t="shared" ref="AK16" si="9">((SUM(F16:AJ16))/8)-(SUMIF($F$6:$AJ$6,"C.Nhật",F16:AJ16)/8)</f>
        <v>25</v>
      </c>
      <c r="AL16" s="247">
        <f t="shared" ref="AL16" si="10">SUM(F17:AJ17)/8*1.5</f>
        <v>0</v>
      </c>
      <c r="AM16" s="249">
        <f>SUMIF($F$6:$AJ$6,"C.Nhật",$F16:$AJ17)/8*2</f>
        <v>0</v>
      </c>
      <c r="AN16" s="240">
        <f>SUM(AK16:AM17)</f>
        <v>25</v>
      </c>
      <c r="AO16" s="251">
        <v>0</v>
      </c>
      <c r="AP16" s="240"/>
      <c r="AQ16" s="240"/>
      <c r="AR16" s="240"/>
      <c r="AS16" s="242"/>
      <c r="AT16" s="20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4"/>
      <c r="B17" s="254"/>
      <c r="C17" s="256"/>
      <c r="D17" s="258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8"/>
      <c r="AL17" s="248"/>
      <c r="AM17" s="250"/>
      <c r="AN17" s="241"/>
      <c r="AO17" s="252"/>
      <c r="AP17" s="241"/>
      <c r="AQ17" s="241"/>
      <c r="AR17" s="241"/>
      <c r="AS17" s="243"/>
      <c r="AT17" s="20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3">
        <f>A16+1</f>
        <v>2</v>
      </c>
      <c r="B18" s="253" t="s">
        <v>163</v>
      </c>
      <c r="C18" s="255" t="str">
        <f>VLOOKUP(B18,DS,2,0)</f>
        <v>Huỳnh Thanh Tùng</v>
      </c>
      <c r="D18" s="257" t="str">
        <f>VLOOKUP(B18,DS,3,0)</f>
        <v>Thợ đóng - xả</v>
      </c>
      <c r="E18" s="68" t="s">
        <v>32</v>
      </c>
      <c r="F18" s="143">
        <v>8</v>
      </c>
      <c r="G18" s="143"/>
      <c r="H18" s="143">
        <v>8</v>
      </c>
      <c r="I18" s="143"/>
      <c r="J18" s="143">
        <v>8</v>
      </c>
      <c r="K18" s="143">
        <v>8</v>
      </c>
      <c r="L18" s="143">
        <v>8</v>
      </c>
      <c r="M18" s="143">
        <v>8</v>
      </c>
      <c r="N18" s="143">
        <v>8</v>
      </c>
      <c r="O18" s="143">
        <v>8</v>
      </c>
      <c r="P18" s="143"/>
      <c r="Q18" s="143">
        <v>8</v>
      </c>
      <c r="R18" s="143">
        <v>8</v>
      </c>
      <c r="S18" s="143">
        <v>8</v>
      </c>
      <c r="T18" s="143">
        <v>8</v>
      </c>
      <c r="U18" s="143">
        <v>8</v>
      </c>
      <c r="V18" s="143">
        <v>8</v>
      </c>
      <c r="W18" s="143"/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>
        <v>8</v>
      </c>
      <c r="AD18" s="143"/>
      <c r="AE18" s="143">
        <v>8</v>
      </c>
      <c r="AF18" s="143">
        <v>8</v>
      </c>
      <c r="AG18" s="143">
        <v>8</v>
      </c>
      <c r="AH18" s="143">
        <v>8</v>
      </c>
      <c r="AI18" s="143">
        <v>8</v>
      </c>
      <c r="AJ18" s="143"/>
      <c r="AK18" s="247">
        <f t="shared" ref="AK18" si="11">((SUM(F18:AJ18))/8)-(SUMIF($F$6:$AJ$6,"C.Nhật",F18:AJ18)/8)</f>
        <v>25</v>
      </c>
      <c r="AL18" s="247">
        <f t="shared" ref="AL18" si="12">SUM(F19:AJ19)/8*1.5</f>
        <v>0</v>
      </c>
      <c r="AM18" s="249">
        <f>SUMIF($F$6:$AJ$6,"C.Nhật",$F18:$AJ19)/8*2</f>
        <v>0</v>
      </c>
      <c r="AN18" s="240">
        <f t="shared" ref="AN18" si="13">SUM(AK18:AM19)</f>
        <v>25</v>
      </c>
      <c r="AO18" s="251">
        <v>0</v>
      </c>
      <c r="AP18" s="240"/>
      <c r="AQ18" s="240"/>
      <c r="AR18" s="240"/>
      <c r="AS18" s="242"/>
      <c r="AT18" s="20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4"/>
      <c r="B19" s="254"/>
      <c r="C19" s="256"/>
      <c r="D19" s="258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8"/>
      <c r="AL19" s="248"/>
      <c r="AM19" s="250"/>
      <c r="AN19" s="241"/>
      <c r="AO19" s="252"/>
      <c r="AP19" s="241"/>
      <c r="AQ19" s="241"/>
      <c r="AR19" s="241"/>
      <c r="AS19" s="243"/>
      <c r="AT19" s="20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3">
        <f t="shared" ref="A20" si="14">A18+1</f>
        <v>3</v>
      </c>
      <c r="B20" s="253" t="s">
        <v>164</v>
      </c>
      <c r="C20" s="255" t="str">
        <f>VLOOKUP(B20,DS,2,0)</f>
        <v>Danh Sà Phép</v>
      </c>
      <c r="D20" s="257" t="str">
        <f>VLOOKUP(B20,DS,3,0)</f>
        <v>Công nhân</v>
      </c>
      <c r="E20" s="68" t="s">
        <v>32</v>
      </c>
      <c r="F20" s="143">
        <v>8</v>
      </c>
      <c r="G20" s="143"/>
      <c r="H20" s="143">
        <v>8</v>
      </c>
      <c r="I20" s="143"/>
      <c r="J20" s="143">
        <v>8</v>
      </c>
      <c r="K20" s="143">
        <v>8</v>
      </c>
      <c r="L20" s="143">
        <v>8</v>
      </c>
      <c r="M20" s="143">
        <v>8</v>
      </c>
      <c r="N20" s="143">
        <v>8</v>
      </c>
      <c r="O20" s="143">
        <v>8</v>
      </c>
      <c r="P20" s="143"/>
      <c r="Q20" s="143">
        <v>8</v>
      </c>
      <c r="R20" s="143">
        <v>8</v>
      </c>
      <c r="S20" s="143">
        <v>8</v>
      </c>
      <c r="T20" s="143">
        <v>8</v>
      </c>
      <c r="U20" s="143">
        <v>8</v>
      </c>
      <c r="V20" s="143">
        <v>8</v>
      </c>
      <c r="W20" s="143"/>
      <c r="X20" s="143">
        <v>8</v>
      </c>
      <c r="Y20" s="143">
        <v>8</v>
      </c>
      <c r="Z20" s="143">
        <v>8</v>
      </c>
      <c r="AA20" s="143">
        <v>8</v>
      </c>
      <c r="AB20" s="143">
        <v>8</v>
      </c>
      <c r="AC20" s="143">
        <v>8</v>
      </c>
      <c r="AD20" s="143"/>
      <c r="AE20" s="143">
        <v>8</v>
      </c>
      <c r="AF20" s="143">
        <v>8</v>
      </c>
      <c r="AG20" s="143">
        <v>8</v>
      </c>
      <c r="AH20" s="143">
        <v>8</v>
      </c>
      <c r="AI20" s="143">
        <v>8</v>
      </c>
      <c r="AJ20" s="143"/>
      <c r="AK20" s="247">
        <f t="shared" ref="AK20" si="15">((SUM(F20:AJ20))/8)-(SUMIF($F$6:$AJ$6,"C.Nhật",F20:AJ20)/8)</f>
        <v>25</v>
      </c>
      <c r="AL20" s="247">
        <f t="shared" ref="AL20" si="16">SUM(F21:AJ21)/8*1.5</f>
        <v>0</v>
      </c>
      <c r="AM20" s="249">
        <f>SUMIF($F$6:$AJ$6,"C.Nhật",$F20:$AJ21)/8*2</f>
        <v>0</v>
      </c>
      <c r="AN20" s="240">
        <f t="shared" ref="AN20" si="17">SUM(AK20:AM21)</f>
        <v>25</v>
      </c>
      <c r="AO20" s="251">
        <v>0</v>
      </c>
      <c r="AP20" s="240"/>
      <c r="AQ20" s="240"/>
      <c r="AR20" s="240"/>
      <c r="AS20" s="242"/>
      <c r="AT20" s="201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4"/>
      <c r="B21" s="254"/>
      <c r="C21" s="256"/>
      <c r="D21" s="258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8"/>
      <c r="AL21" s="248"/>
      <c r="AM21" s="250"/>
      <c r="AN21" s="241"/>
      <c r="AO21" s="252"/>
      <c r="AP21" s="241"/>
      <c r="AQ21" s="241"/>
      <c r="AR21" s="241"/>
      <c r="AS21" s="243"/>
      <c r="AT21" s="201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199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199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3:3" ht="15" customHeight="1">
      <c r="C33" s="2" t="s">
        <v>49</v>
      </c>
    </row>
    <row r="34" spans="3:3" ht="15" customHeight="1">
      <c r="C34" s="2" t="s">
        <v>50</v>
      </c>
    </row>
    <row r="35" spans="3:3" ht="15" customHeight="1">
      <c r="C35" s="2" t="s">
        <v>51</v>
      </c>
    </row>
    <row r="36" spans="3:3" ht="15" customHeight="1">
      <c r="C36" s="2" t="s">
        <v>52</v>
      </c>
    </row>
    <row r="37" spans="3:3" ht="15" customHeight="1">
      <c r="C37" s="2" t="s">
        <v>53</v>
      </c>
    </row>
    <row r="38" spans="3:3" ht="15" customHeight="1">
      <c r="C38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C16:E21 A16:A21" name="Range1_6_2"/>
    <protectedRange password="CC78" sqref="B16:B21" name="Range1_4_2"/>
  </protectedRanges>
  <mergeCells count="92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1:A12"/>
    <mergeCell ref="B11:B12"/>
    <mergeCell ref="C11:C12"/>
    <mergeCell ref="D11:D12"/>
    <mergeCell ref="AK11:AK12"/>
    <mergeCell ref="AN11:AN12"/>
    <mergeCell ref="AO11:AO12"/>
    <mergeCell ref="AM9:AM10"/>
    <mergeCell ref="AN9:AN10"/>
    <mergeCell ref="AO9:AO10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S13:AS14"/>
    <mergeCell ref="AP13:AP14"/>
    <mergeCell ref="AQ13:AQ14"/>
    <mergeCell ref="AR13:AR14"/>
    <mergeCell ref="AL11:AL12"/>
    <mergeCell ref="AM11:AM12"/>
    <mergeCell ref="AM13:AM14"/>
    <mergeCell ref="AN13:AN14"/>
    <mergeCell ref="AO13:AO14"/>
    <mergeCell ref="A16:A17"/>
    <mergeCell ref="B16:B17"/>
    <mergeCell ref="C16:C17"/>
    <mergeCell ref="D16:D17"/>
    <mergeCell ref="AK16:AK17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L16:AL17"/>
    <mergeCell ref="AM16:AM17"/>
    <mergeCell ref="AN16:AN17"/>
    <mergeCell ref="AO16:AO17"/>
    <mergeCell ref="AL20:AL21"/>
    <mergeCell ref="AM20:AM21"/>
    <mergeCell ref="AN20:AN21"/>
    <mergeCell ref="AO20:AO21"/>
    <mergeCell ref="AM18:AM19"/>
    <mergeCell ref="AN18:AN19"/>
    <mergeCell ref="AO18:AO19"/>
    <mergeCell ref="A20:A21"/>
    <mergeCell ref="B20:B21"/>
    <mergeCell ref="C20:C21"/>
    <mergeCell ref="D20:D21"/>
    <mergeCell ref="AK20:AK21"/>
    <mergeCell ref="AP20:AP21"/>
    <mergeCell ref="AQ20:AQ21"/>
    <mergeCell ref="AR20:AR21"/>
    <mergeCell ref="AS20:AS21"/>
    <mergeCell ref="AS18:AS19"/>
    <mergeCell ref="AP18:AP19"/>
    <mergeCell ref="AQ18:AQ19"/>
    <mergeCell ref="AR18:AR19"/>
  </mergeCells>
  <conditionalFormatting sqref="F5:AJ6 AJ16:AJ21 AJ13:AJ14 F9:AJ10 F11:AI14">
    <cfRule type="expression" dxfId="56" priority="14" stopIfTrue="1">
      <formula>IF(WEEKDAY(F$5)=1,TRUE,FALSE)</formula>
    </cfRule>
  </conditionalFormatting>
  <conditionalFormatting sqref="AJ13:AJ14 F9:AJ10 F11:AI14">
    <cfRule type="expression" dxfId="55" priority="13" stopIfTrue="1">
      <formula>IF(WEEKDAY(F$5)=1,TRUE,FALSE)</formula>
    </cfRule>
  </conditionalFormatting>
  <conditionalFormatting sqref="AJ16:AJ21">
    <cfRule type="expression" dxfId="54" priority="12" stopIfTrue="1">
      <formula>IF(WEEKDAY(AJ$5)=1,TRUE,FALSE)</formula>
    </cfRule>
  </conditionalFormatting>
  <conditionalFormatting sqref="AJ16:AJ21">
    <cfRule type="expression" dxfId="53" priority="11" stopIfTrue="1">
      <formula>IF(WEEKDAY(AJ$5)=1,TRUE,FALSE)</formula>
    </cfRule>
  </conditionalFormatting>
  <conditionalFormatting sqref="AJ16:AJ21">
    <cfRule type="expression" dxfId="52" priority="9" stopIfTrue="1">
      <formula>IF(WEEKDAY(AJ$5)=1,TRUE,FALSE)</formula>
    </cfRule>
  </conditionalFormatting>
  <conditionalFormatting sqref="AJ16:AJ21">
    <cfRule type="expression" dxfId="51" priority="7" stopIfTrue="1">
      <formula>IF(WEEKDAY(AJ$5)=1,TRUE,FALSE)</formula>
    </cfRule>
  </conditionalFormatting>
  <conditionalFormatting sqref="AJ16:AJ21">
    <cfRule type="expression" dxfId="50" priority="6" stopIfTrue="1">
      <formula>IF(WEEKDAY(AJ$5)=1,TRUE,FALSE)</formula>
    </cfRule>
  </conditionalFormatting>
  <conditionalFormatting sqref="AJ16:AJ21">
    <cfRule type="expression" dxfId="49" priority="5" stopIfTrue="1">
      <formula>IF(WEEKDAY(AJ$5)=1,TRUE,FALSE)</formula>
    </cfRule>
  </conditionalFormatting>
  <conditionalFormatting sqref="AJ11:AJ12">
    <cfRule type="expression" dxfId="48" priority="4" stopIfTrue="1">
      <formula>IF(WEEKDAY(AJ$5)=1,TRUE,FALSE)</formula>
    </cfRule>
  </conditionalFormatting>
  <conditionalFormatting sqref="AJ11:AJ12">
    <cfRule type="expression" dxfId="47" priority="3" stopIfTrue="1">
      <formula>IF(WEEKDAY(AJ$5)=1,TRUE,FALSE)</formula>
    </cfRule>
  </conditionalFormatting>
  <conditionalFormatting sqref="F16:AI21">
    <cfRule type="expression" dxfId="46" priority="2" stopIfTrue="1">
      <formula>IF(WEEKDAY(F$5)=1,TRUE,FALSE)</formula>
    </cfRule>
  </conditionalFormatting>
  <conditionalFormatting sqref="F16:AI21">
    <cfRule type="expression" dxfId="45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S20" activeCellId="1" sqref="S14 S20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03"/>
      <c r="C1" s="203"/>
      <c r="D1" s="277" t="str">
        <f>"BẢNG THANH TOÁN LƯƠNG THÁNG"&amp;" "&amp;TEXT($E$4,"mm")&amp;" / "&amp;TEXT($E$4,"yyyy")</f>
        <v>BẢNG THANH TOÁN LƯƠNG THÁNG 09 / 2011</v>
      </c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8"/>
      <c r="R1" s="271" t="s">
        <v>170</v>
      </c>
      <c r="S1" s="272"/>
      <c r="T1" s="273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03"/>
      <c r="C2" s="203"/>
      <c r="D2" s="203"/>
      <c r="E2" s="81"/>
      <c r="F2" s="203"/>
      <c r="G2" s="203"/>
      <c r="H2" s="203"/>
      <c r="I2" s="203"/>
      <c r="J2" s="82"/>
      <c r="K2" s="203"/>
      <c r="L2" s="203"/>
      <c r="M2" s="203"/>
      <c r="N2" s="203"/>
      <c r="O2" s="203"/>
      <c r="P2" s="203"/>
      <c r="Q2" s="203"/>
      <c r="R2" s="203"/>
      <c r="S2" s="203"/>
      <c r="T2" s="59"/>
      <c r="U2" s="80">
        <v>25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03"/>
      <c r="C3" s="203"/>
      <c r="D3" s="203"/>
      <c r="E3" s="81"/>
      <c r="F3" s="203"/>
      <c r="G3" s="203"/>
      <c r="H3" s="203"/>
      <c r="I3" s="203"/>
      <c r="J3" s="82"/>
      <c r="K3" s="203"/>
      <c r="L3" s="203"/>
      <c r="M3" s="203"/>
      <c r="N3" s="203"/>
      <c r="O3" s="203"/>
      <c r="P3" s="203"/>
      <c r="Q3" s="203"/>
      <c r="R3" s="203"/>
      <c r="S3" s="203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-9'!$E$4</f>
        <v>40787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9" t="s">
        <v>19</v>
      </c>
      <c r="B5" s="279" t="s">
        <v>20</v>
      </c>
      <c r="C5" s="233" t="s">
        <v>1</v>
      </c>
      <c r="D5" s="233" t="s">
        <v>2</v>
      </c>
      <c r="E5" s="228" t="s">
        <v>56</v>
      </c>
      <c r="F5" s="281" t="s">
        <v>26</v>
      </c>
      <c r="G5" s="283"/>
      <c r="H5" s="283"/>
      <c r="I5" s="283"/>
      <c r="J5" s="283"/>
      <c r="K5" s="282"/>
      <c r="L5" s="268" t="s">
        <v>57</v>
      </c>
      <c r="M5" s="268" t="s">
        <v>5</v>
      </c>
      <c r="N5" s="233" t="s">
        <v>6</v>
      </c>
      <c r="O5" s="233"/>
      <c r="P5" s="233"/>
      <c r="Q5" s="268" t="s">
        <v>7</v>
      </c>
      <c r="R5" s="268" t="s">
        <v>8</v>
      </c>
      <c r="S5" s="268" t="s">
        <v>9</v>
      </c>
      <c r="T5" s="22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80"/>
      <c r="B6" s="280"/>
      <c r="C6" s="233"/>
      <c r="D6" s="233"/>
      <c r="E6" s="228"/>
      <c r="F6" s="281" t="s">
        <v>59</v>
      </c>
      <c r="G6" s="282"/>
      <c r="H6" s="281" t="s">
        <v>158</v>
      </c>
      <c r="I6" s="283"/>
      <c r="J6" s="284" t="s">
        <v>27</v>
      </c>
      <c r="K6" s="268" t="s">
        <v>4</v>
      </c>
      <c r="L6" s="269"/>
      <c r="M6" s="269"/>
      <c r="N6" s="274" t="s">
        <v>12</v>
      </c>
      <c r="O6" s="268" t="s">
        <v>13</v>
      </c>
      <c r="P6" s="268" t="s">
        <v>34</v>
      </c>
      <c r="Q6" s="269"/>
      <c r="R6" s="269"/>
      <c r="S6" s="269"/>
      <c r="T6" s="23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80"/>
      <c r="B7" s="280"/>
      <c r="C7" s="268"/>
      <c r="D7" s="268"/>
      <c r="E7" s="228"/>
      <c r="F7" s="202" t="s">
        <v>40</v>
      </c>
      <c r="G7" s="200" t="s">
        <v>18</v>
      </c>
      <c r="H7" s="202" t="s">
        <v>40</v>
      </c>
      <c r="I7" s="128" t="s">
        <v>18</v>
      </c>
      <c r="J7" s="285"/>
      <c r="K7" s="269"/>
      <c r="L7" s="270"/>
      <c r="M7" s="270"/>
      <c r="N7" s="275"/>
      <c r="O7" s="269"/>
      <c r="P7" s="269"/>
      <c r="Q7" s="269"/>
      <c r="R7" s="269"/>
      <c r="S7" s="269"/>
      <c r="T7" s="23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171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160</v>
      </c>
      <c r="C10" s="89" t="str">
        <f t="shared" ref="C10:C12" si="0">VLOOKUP(B10,DS,2,0)</f>
        <v>Lê Kim Ngọc Thảo</v>
      </c>
      <c r="D10" s="116" t="str">
        <f t="shared" ref="D10:D12" si="1">VLOOKUP(B10,DS,3,0)</f>
        <v>Văn Phòng</v>
      </c>
      <c r="E10" s="90">
        <f t="shared" ref="E10:E12" si="2">VLOOKUP(B10,DS,4,0)</f>
        <v>2500000</v>
      </c>
      <c r="F10" s="92">
        <f>VLOOKUP(B10,'CC -9'!$B$8:$AS$21,36,0)</f>
        <v>25</v>
      </c>
      <c r="G10" s="145">
        <f t="shared" ref="G10:G12" si="3">ROUND(E10/$U$2*F10,0)</f>
        <v>2500000</v>
      </c>
      <c r="H10" s="92">
        <f>(VLOOKUP(B10,'CC -9'!$B$8:$AS$21,37,0)+VLOOKUP(B10,'CC -9'!$B$8:$AS$21,38,0))</f>
        <v>0</v>
      </c>
      <c r="I10" s="145">
        <f t="shared" ref="I10:I12" si="4">ROUND(E10/$U$2*H10,0)</f>
        <v>0</v>
      </c>
      <c r="J10" s="93">
        <f t="shared" ref="J10:K12" si="5">F10+H10</f>
        <v>25</v>
      </c>
      <c r="K10" s="39">
        <f>G10+I10</f>
        <v>2500000</v>
      </c>
      <c r="L10" s="90">
        <f t="shared" ref="L10:L12" si="6">+F10*15000</f>
        <v>375000</v>
      </c>
      <c r="M10" s="40">
        <f t="shared" ref="M10:M12" si="7">K10+L10</f>
        <v>2875000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2875000</v>
      </c>
      <c r="R10" s="39">
        <f>VLOOKUP(B10,DS,23,0)</f>
        <v>0</v>
      </c>
      <c r="S10" s="45">
        <f t="shared" ref="S10:S12" si="9">Q10-R10</f>
        <v>2875000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161</v>
      </c>
      <c r="C11" s="89" t="str">
        <f t="shared" si="0"/>
        <v>Lê Hoàng Diệu</v>
      </c>
      <c r="D11" s="116" t="str">
        <f t="shared" si="1"/>
        <v>Kinh Doanh</v>
      </c>
      <c r="E11" s="90">
        <f t="shared" si="2"/>
        <v>2400000</v>
      </c>
      <c r="F11" s="92">
        <f>VLOOKUP(B11,'CC -9'!$B$8:$AS$21,36,0)</f>
        <v>25</v>
      </c>
      <c r="G11" s="145">
        <f t="shared" si="3"/>
        <v>2400000</v>
      </c>
      <c r="H11" s="92">
        <f>(VLOOKUP(B11,'CC -9'!$B$8:$AS$21,37,0)+VLOOKUP(B11,'CC -9'!$B$8:$AS$21,38,0))</f>
        <v>0</v>
      </c>
      <c r="I11" s="145">
        <f t="shared" si="4"/>
        <v>0</v>
      </c>
      <c r="J11" s="93">
        <f t="shared" si="5"/>
        <v>25</v>
      </c>
      <c r="K11" s="39">
        <f t="shared" si="5"/>
        <v>2400000</v>
      </c>
      <c r="L11" s="90">
        <f t="shared" si="6"/>
        <v>375000</v>
      </c>
      <c r="M11" s="40">
        <f t="shared" si="7"/>
        <v>2775000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2775000</v>
      </c>
      <c r="R11" s="39">
        <f>VLOOKUP(B11,DS,23,0)</f>
        <v>0</v>
      </c>
      <c r="S11" s="45">
        <f t="shared" si="9"/>
        <v>2775000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168</v>
      </c>
      <c r="C12" s="89" t="str">
        <f t="shared" si="0"/>
        <v>Trần Hòa Toản</v>
      </c>
      <c r="D12" s="116" t="str">
        <f t="shared" si="1"/>
        <v>Tài xế</v>
      </c>
      <c r="E12" s="90">
        <f t="shared" si="2"/>
        <v>2350000</v>
      </c>
      <c r="F12" s="92">
        <f>VLOOKUP(B12,'CC -9'!$B$8:$AS$21,36,0)</f>
        <v>25</v>
      </c>
      <c r="G12" s="145">
        <f t="shared" si="3"/>
        <v>2350000</v>
      </c>
      <c r="H12" s="92">
        <f>(VLOOKUP(B12,'CC -9'!$B$8:$AS$21,37,0)+VLOOKUP(B12,'CC -9'!$B$8:$AS$21,38,0))</f>
        <v>0</v>
      </c>
      <c r="I12" s="145">
        <f t="shared" si="4"/>
        <v>0</v>
      </c>
      <c r="J12" s="93">
        <f t="shared" si="5"/>
        <v>25</v>
      </c>
      <c r="K12" s="39">
        <f t="shared" si="5"/>
        <v>2350000</v>
      </c>
      <c r="L12" s="90">
        <f t="shared" si="6"/>
        <v>375000</v>
      </c>
      <c r="M12" s="40">
        <f t="shared" si="7"/>
        <v>2725000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2725000</v>
      </c>
      <c r="R12" s="39">
        <f>VLOOKUP(B12,DS,23,0)</f>
        <v>0</v>
      </c>
      <c r="S12" s="45">
        <f t="shared" si="9"/>
        <v>2725000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76" t="s">
        <v>25</v>
      </c>
      <c r="B14" s="276"/>
      <c r="C14" s="276"/>
      <c r="D14" s="276"/>
      <c r="E14" s="140">
        <f>SUM(E9:E12)</f>
        <v>7250000</v>
      </c>
      <c r="F14" s="140"/>
      <c r="G14" s="140">
        <f>SUM(G9:G12)</f>
        <v>7250000</v>
      </c>
      <c r="H14" s="140"/>
      <c r="I14" s="140">
        <f>SUM(I9:I12)</f>
        <v>0</v>
      </c>
      <c r="J14" s="140"/>
      <c r="K14" s="140">
        <f t="shared" ref="K14:S14" si="10">SUM(K9:K12)</f>
        <v>7250000</v>
      </c>
      <c r="L14" s="140">
        <f t="shared" si="10"/>
        <v>1125000</v>
      </c>
      <c r="M14" s="140">
        <f t="shared" si="10"/>
        <v>8375000</v>
      </c>
      <c r="N14" s="140">
        <f t="shared" si="10"/>
        <v>0</v>
      </c>
      <c r="O14" s="140">
        <f t="shared" si="10"/>
        <v>0</v>
      </c>
      <c r="P14" s="140">
        <f t="shared" si="10"/>
        <v>0</v>
      </c>
      <c r="Q14" s="140">
        <f t="shared" si="10"/>
        <v>8375000</v>
      </c>
      <c r="R14" s="140">
        <f t="shared" si="10"/>
        <v>0</v>
      </c>
      <c r="S14" s="140">
        <f t="shared" si="10"/>
        <v>8375000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162</v>
      </c>
      <c r="C16" s="89" t="str">
        <f t="shared" ref="C16:C18" si="11">VLOOKUP(B16,DS,2,0)</f>
        <v>Bùi Trường Giang</v>
      </c>
      <c r="D16" s="116" t="str">
        <f t="shared" ref="D16:D18" si="12">VLOOKUP(B16,DS,3,0)</f>
        <v>Thợ in</v>
      </c>
      <c r="E16" s="90">
        <f t="shared" ref="E16:E18" si="13">VLOOKUP(B16,DS,4,0)</f>
        <v>1800000</v>
      </c>
      <c r="F16" s="92">
        <f>VLOOKUP(B16,'CC -9'!$B$8:$AS$21,36,0)</f>
        <v>25</v>
      </c>
      <c r="G16" s="145">
        <f t="shared" ref="G16:G18" si="14">ROUND(E16/$U$2*F16,0)</f>
        <v>1800000</v>
      </c>
      <c r="H16" s="92">
        <f>(VLOOKUP(B16,'CC -9'!$B$8:$AS$21,37,0)+VLOOKUP(B16,'CC -9'!$B$8:$AS$21,38,0))</f>
        <v>0</v>
      </c>
      <c r="I16" s="145">
        <f t="shared" ref="I16:I18" si="15">ROUND(E16/$U$2*H16,0)</f>
        <v>0</v>
      </c>
      <c r="J16" s="146">
        <f t="shared" ref="J16:K18" si="16">F16+H16</f>
        <v>25</v>
      </c>
      <c r="K16" s="39">
        <f t="shared" si="16"/>
        <v>1800000</v>
      </c>
      <c r="L16" s="90">
        <f t="shared" ref="L16:L18" si="17">+F16*15000</f>
        <v>375000</v>
      </c>
      <c r="M16" s="40">
        <f t="shared" ref="M16:M18" si="18">K16+L16</f>
        <v>2175000</v>
      </c>
      <c r="N16" s="40">
        <f>IF(VLOOKUP(B16,DS,9,0)="x",'L - 9'!E16*$N$4,0)</f>
        <v>0</v>
      </c>
      <c r="O16" s="40">
        <f t="shared" ref="O16:O18" si="19">IF(VLOOKUP(B16,DS,9,0)="x",E16*0.015,0)</f>
        <v>0</v>
      </c>
      <c r="P16" s="40">
        <f t="shared" ref="P16:P18" si="20">IF(VLOOKUP(B16,DS,9,0)="x",E16*0.01,0)</f>
        <v>0</v>
      </c>
      <c r="Q16" s="39">
        <f>M16-SUM(N16:P16)</f>
        <v>2175000</v>
      </c>
      <c r="R16" s="39">
        <f t="shared" ref="R16:R18" si="21">VLOOKUP(B16,DS,23,0)</f>
        <v>0</v>
      </c>
      <c r="S16" s="45">
        <f>Q16-R16</f>
        <v>2175000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163</v>
      </c>
      <c r="C17" s="89" t="str">
        <f t="shared" si="11"/>
        <v>Huỳnh Thanh Tùng</v>
      </c>
      <c r="D17" s="116" t="str">
        <f t="shared" si="12"/>
        <v>Thợ đóng - xả</v>
      </c>
      <c r="E17" s="90">
        <f t="shared" si="13"/>
        <v>1800000</v>
      </c>
      <c r="F17" s="92">
        <f>VLOOKUP(B17,'CC -9'!$B$8:$AS$21,36,0)</f>
        <v>25</v>
      </c>
      <c r="G17" s="145">
        <f t="shared" si="14"/>
        <v>1800000</v>
      </c>
      <c r="H17" s="92">
        <f>(VLOOKUP(B17,'CC -9'!$B$8:$AS$21,37,0)+VLOOKUP(B17,'CC -9'!$B$8:$AS$21,38,0))</f>
        <v>0</v>
      </c>
      <c r="I17" s="145">
        <f t="shared" si="15"/>
        <v>0</v>
      </c>
      <c r="J17" s="146">
        <f t="shared" si="16"/>
        <v>25</v>
      </c>
      <c r="K17" s="39">
        <f t="shared" si="16"/>
        <v>1800000</v>
      </c>
      <c r="L17" s="90">
        <f t="shared" si="17"/>
        <v>375000</v>
      </c>
      <c r="M17" s="40">
        <f t="shared" si="18"/>
        <v>2175000</v>
      </c>
      <c r="N17" s="40">
        <f>IF(VLOOKUP(B17,DS,9,0)="x",'L - 9'!E17*$N$4,0)</f>
        <v>0</v>
      </c>
      <c r="O17" s="40">
        <f t="shared" si="19"/>
        <v>0</v>
      </c>
      <c r="P17" s="40">
        <f t="shared" si="20"/>
        <v>0</v>
      </c>
      <c r="Q17" s="39">
        <f t="shared" ref="Q17:Q18" si="22">M17-SUM(N17:P17)</f>
        <v>2175000</v>
      </c>
      <c r="R17" s="39">
        <f t="shared" si="21"/>
        <v>0</v>
      </c>
      <c r="S17" s="45">
        <f t="shared" ref="S17:S18" si="23">Q17-R17</f>
        <v>2175000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164</v>
      </c>
      <c r="C18" s="89" t="str">
        <f t="shared" si="11"/>
        <v>Danh Sà Phép</v>
      </c>
      <c r="D18" s="116" t="str">
        <f t="shared" si="12"/>
        <v>Công nhân</v>
      </c>
      <c r="E18" s="90">
        <f t="shared" si="13"/>
        <v>1500000</v>
      </c>
      <c r="F18" s="92">
        <f>VLOOKUP(B18,'CC -9'!$B$8:$AS$21,36,0)</f>
        <v>25</v>
      </c>
      <c r="G18" s="145">
        <f t="shared" si="14"/>
        <v>1500000</v>
      </c>
      <c r="H18" s="92">
        <f>(VLOOKUP(B18,'CC -9'!$B$8:$AS$21,37,0)+VLOOKUP(B18,'CC -9'!$B$8:$AS$21,38,0))</f>
        <v>0</v>
      </c>
      <c r="I18" s="145">
        <f t="shared" si="15"/>
        <v>0</v>
      </c>
      <c r="J18" s="146">
        <f t="shared" si="16"/>
        <v>25</v>
      </c>
      <c r="K18" s="39">
        <f t="shared" si="16"/>
        <v>1500000</v>
      </c>
      <c r="L18" s="90">
        <f t="shared" si="17"/>
        <v>375000</v>
      </c>
      <c r="M18" s="40">
        <f t="shared" si="18"/>
        <v>1875000</v>
      </c>
      <c r="N18" s="40">
        <f>IF(VLOOKUP(B18,DS,9,0)="x",'L - 9'!E18*$N$4,0)</f>
        <v>0</v>
      </c>
      <c r="O18" s="40">
        <f t="shared" si="19"/>
        <v>0</v>
      </c>
      <c r="P18" s="40">
        <f t="shared" si="20"/>
        <v>0</v>
      </c>
      <c r="Q18" s="39">
        <f t="shared" si="22"/>
        <v>1875000</v>
      </c>
      <c r="R18" s="39">
        <f t="shared" si="21"/>
        <v>0</v>
      </c>
      <c r="S18" s="45">
        <f t="shared" si="23"/>
        <v>1875000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76" t="s">
        <v>25</v>
      </c>
      <c r="B20" s="276"/>
      <c r="C20" s="276"/>
      <c r="D20" s="276"/>
      <c r="E20" s="140">
        <f>SUM(E15:E19)</f>
        <v>5100000</v>
      </c>
      <c r="F20" s="140"/>
      <c r="G20" s="140">
        <f t="shared" ref="G20:S20" si="24">SUM(G15:G19)</f>
        <v>5100000</v>
      </c>
      <c r="H20" s="140"/>
      <c r="I20" s="140">
        <f t="shared" si="24"/>
        <v>0</v>
      </c>
      <c r="J20" s="140"/>
      <c r="K20" s="140">
        <f t="shared" si="24"/>
        <v>5100000</v>
      </c>
      <c r="L20" s="140">
        <f t="shared" si="24"/>
        <v>1125000</v>
      </c>
      <c r="M20" s="140">
        <f t="shared" si="24"/>
        <v>6225000</v>
      </c>
      <c r="N20" s="140">
        <f t="shared" si="24"/>
        <v>0</v>
      </c>
      <c r="O20" s="140">
        <f t="shared" si="24"/>
        <v>0</v>
      </c>
      <c r="P20" s="140">
        <f t="shared" si="24"/>
        <v>0</v>
      </c>
      <c r="Q20" s="140">
        <f t="shared" si="24"/>
        <v>6225000</v>
      </c>
      <c r="R20" s="140">
        <f t="shared" si="24"/>
        <v>0</v>
      </c>
      <c r="S20" s="140">
        <f t="shared" si="24"/>
        <v>6225000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09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AF5:IK13 E5:I6 D20 N5:P6 L5 L23 J6:K7 L7 A26:T59 U32:U59 N19:S19 V26:IK59 W10:W13 J19:L19 A60:IK65327 AF15:IK15 V14:IK14 D14 Q10:S13 A10:B14" name="Range1"/>
    <protectedRange password="CC78" sqref="F7:H7" name="Range1_4"/>
    <protectedRange password="CC78" sqref="V23:IK24 S23:T24 N23:Q24 E23:I24" name="Range1_1_1"/>
    <protectedRange password="CC78" sqref="U1 W1:IK3 V4:IK4 B4:T4 X5:AE13 R2:S3 B1:Q3 U19:U31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Q16:S18 A16:B18 AF16:IK18 W16:W18" name="Range1_5"/>
    <protectedRange password="CC78" sqref="X16:AE18 U16:U18" name="Range1_2_3"/>
    <protectedRange password="CC78" sqref="V16:V18" name="Range1_1_3"/>
    <protectedRange password="CC78" sqref="K16:K18 K10:K13" name="Range1_6"/>
    <protectedRange password="CC78" sqref="A2:A3" name="Range1_2_1_3"/>
    <protectedRange password="CC78" sqref="E14:T14" name="Range1_3"/>
    <protectedRange password="CC78" sqref="E20:T20" name="Range1_7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4:D14"/>
    <mergeCell ref="A20:D20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S9" sqref="S9:T1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10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44" t="s">
        <v>170</v>
      </c>
      <c r="AN1" s="245"/>
      <c r="AO1" s="245"/>
      <c r="AP1" s="245"/>
      <c r="AQ1" s="245"/>
      <c r="AR1" s="245"/>
      <c r="AS1" s="246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40817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2" t="s">
        <v>28</v>
      </c>
      <c r="B5" s="262" t="s">
        <v>3</v>
      </c>
      <c r="C5" s="262" t="s">
        <v>1</v>
      </c>
      <c r="D5" s="264" t="s">
        <v>29</v>
      </c>
      <c r="E5" s="262" t="s">
        <v>30</v>
      </c>
      <c r="F5" s="118">
        <f>+E4</f>
        <v>40817</v>
      </c>
      <c r="G5" s="118">
        <f t="shared" ref="G5:AJ5" si="0">F5+1</f>
        <v>40818</v>
      </c>
      <c r="H5" s="118">
        <f t="shared" si="0"/>
        <v>40819</v>
      </c>
      <c r="I5" s="118">
        <f t="shared" si="0"/>
        <v>40820</v>
      </c>
      <c r="J5" s="118">
        <f t="shared" si="0"/>
        <v>40821</v>
      </c>
      <c r="K5" s="118">
        <f t="shared" si="0"/>
        <v>40822</v>
      </c>
      <c r="L5" s="118">
        <f t="shared" si="0"/>
        <v>40823</v>
      </c>
      <c r="M5" s="118">
        <f t="shared" si="0"/>
        <v>40824</v>
      </c>
      <c r="N5" s="118">
        <f t="shared" si="0"/>
        <v>40825</v>
      </c>
      <c r="O5" s="118">
        <f t="shared" si="0"/>
        <v>40826</v>
      </c>
      <c r="P5" s="118">
        <f t="shared" si="0"/>
        <v>40827</v>
      </c>
      <c r="Q5" s="118">
        <f t="shared" si="0"/>
        <v>40828</v>
      </c>
      <c r="R5" s="118">
        <f t="shared" si="0"/>
        <v>40829</v>
      </c>
      <c r="S5" s="118">
        <f t="shared" si="0"/>
        <v>40830</v>
      </c>
      <c r="T5" s="118">
        <f t="shared" si="0"/>
        <v>40831</v>
      </c>
      <c r="U5" s="118">
        <f t="shared" si="0"/>
        <v>40832</v>
      </c>
      <c r="V5" s="118">
        <f t="shared" si="0"/>
        <v>40833</v>
      </c>
      <c r="W5" s="118">
        <f t="shared" si="0"/>
        <v>40834</v>
      </c>
      <c r="X5" s="118">
        <f t="shared" si="0"/>
        <v>40835</v>
      </c>
      <c r="Y5" s="118">
        <f t="shared" si="0"/>
        <v>40836</v>
      </c>
      <c r="Z5" s="118">
        <f t="shared" si="0"/>
        <v>40837</v>
      </c>
      <c r="AA5" s="118">
        <f t="shared" si="0"/>
        <v>40838</v>
      </c>
      <c r="AB5" s="118">
        <f t="shared" si="0"/>
        <v>40839</v>
      </c>
      <c r="AC5" s="118">
        <f t="shared" si="0"/>
        <v>40840</v>
      </c>
      <c r="AD5" s="118">
        <f t="shared" si="0"/>
        <v>40841</v>
      </c>
      <c r="AE5" s="118">
        <f t="shared" si="0"/>
        <v>40842</v>
      </c>
      <c r="AF5" s="118">
        <f t="shared" si="0"/>
        <v>40843</v>
      </c>
      <c r="AG5" s="118">
        <f t="shared" si="0"/>
        <v>40844</v>
      </c>
      <c r="AH5" s="118">
        <f>AG5+1</f>
        <v>40845</v>
      </c>
      <c r="AI5" s="118">
        <f t="shared" si="0"/>
        <v>40846</v>
      </c>
      <c r="AJ5" s="118">
        <f t="shared" si="0"/>
        <v>40847</v>
      </c>
      <c r="AK5" s="259" t="s">
        <v>15</v>
      </c>
      <c r="AL5" s="260"/>
      <c r="AM5" s="261"/>
      <c r="AN5" s="265" t="s">
        <v>45</v>
      </c>
      <c r="AO5" s="265" t="s">
        <v>41</v>
      </c>
      <c r="AP5" s="265" t="s">
        <v>42</v>
      </c>
      <c r="AQ5" s="265" t="s">
        <v>43</v>
      </c>
      <c r="AR5" s="265" t="s">
        <v>44</v>
      </c>
      <c r="AS5" s="264" t="s">
        <v>0</v>
      </c>
      <c r="AT5" s="26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63"/>
      <c r="B6" s="263"/>
      <c r="C6" s="263"/>
      <c r="D6" s="263"/>
      <c r="E6" s="263"/>
      <c r="F6" s="175" t="str">
        <f>CHOOSE(WEEKDAY(F5),"C.Nhật","T.Hai","T.Ba","T.Tư","T.Năm","T.Sáu","T.Bảy")</f>
        <v>T.Bảy</v>
      </c>
      <c r="G6" s="175" t="str">
        <f t="shared" ref="G6:AJ6" si="1">CHOOSE(WEEKDAY(G5),"C.Nhật","T.Hai","T.Ba","T.Tư","T.Năm","T.Sáu","T.Bảy")</f>
        <v>C.Nhật</v>
      </c>
      <c r="H6" s="175" t="str">
        <f t="shared" si="1"/>
        <v>T.Hai</v>
      </c>
      <c r="I6" s="175" t="str">
        <f t="shared" si="1"/>
        <v>T.Ba</v>
      </c>
      <c r="J6" s="175" t="str">
        <f t="shared" si="1"/>
        <v>T.Tư</v>
      </c>
      <c r="K6" s="175" t="str">
        <f t="shared" si="1"/>
        <v>T.Năm</v>
      </c>
      <c r="L6" s="175" t="str">
        <f t="shared" si="1"/>
        <v>T.Sáu</v>
      </c>
      <c r="M6" s="175" t="str">
        <f t="shared" si="1"/>
        <v>T.Bảy</v>
      </c>
      <c r="N6" s="175" t="str">
        <f t="shared" si="1"/>
        <v>C.Nhật</v>
      </c>
      <c r="O6" s="175" t="str">
        <f t="shared" si="1"/>
        <v>T.Hai</v>
      </c>
      <c r="P6" s="175" t="str">
        <f t="shared" si="1"/>
        <v>T.Ba</v>
      </c>
      <c r="Q6" s="175" t="str">
        <f t="shared" si="1"/>
        <v>T.Tư</v>
      </c>
      <c r="R6" s="175" t="str">
        <f t="shared" si="1"/>
        <v>T.Năm</v>
      </c>
      <c r="S6" s="175" t="str">
        <f t="shared" si="1"/>
        <v>T.Sáu</v>
      </c>
      <c r="T6" s="175" t="str">
        <f t="shared" si="1"/>
        <v>T.Bảy</v>
      </c>
      <c r="U6" s="175" t="str">
        <f t="shared" si="1"/>
        <v>C.Nhật</v>
      </c>
      <c r="V6" s="175" t="str">
        <f t="shared" si="1"/>
        <v>T.Hai</v>
      </c>
      <c r="W6" s="175" t="str">
        <f t="shared" si="1"/>
        <v>T.Ba</v>
      </c>
      <c r="X6" s="175" t="str">
        <f t="shared" si="1"/>
        <v>T.Tư</v>
      </c>
      <c r="Y6" s="175" t="str">
        <f t="shared" si="1"/>
        <v>T.Năm</v>
      </c>
      <c r="Z6" s="175" t="str">
        <f t="shared" si="1"/>
        <v>T.Sáu</v>
      </c>
      <c r="AA6" s="175" t="str">
        <f t="shared" si="1"/>
        <v>T.Bảy</v>
      </c>
      <c r="AB6" s="175" t="str">
        <f t="shared" si="1"/>
        <v>C.Nhật</v>
      </c>
      <c r="AC6" s="175" t="str">
        <f t="shared" si="1"/>
        <v>T.Hai</v>
      </c>
      <c r="AD6" s="175" t="str">
        <f t="shared" si="1"/>
        <v>T.Ba</v>
      </c>
      <c r="AE6" s="175" t="str">
        <f t="shared" si="1"/>
        <v>T.Tư</v>
      </c>
      <c r="AF6" s="175" t="str">
        <f t="shared" si="1"/>
        <v>T.Năm</v>
      </c>
      <c r="AG6" s="175" t="str">
        <f t="shared" si="1"/>
        <v>T.Sáu</v>
      </c>
      <c r="AH6" s="175" t="str">
        <f t="shared" si="1"/>
        <v>T.Bảy</v>
      </c>
      <c r="AI6" s="175" t="str">
        <f t="shared" si="1"/>
        <v>C.Nhật</v>
      </c>
      <c r="AJ6" s="175" t="str">
        <f t="shared" si="1"/>
        <v>T.Hai</v>
      </c>
      <c r="AK6" s="176" t="s">
        <v>16</v>
      </c>
      <c r="AL6" s="176" t="s">
        <v>31</v>
      </c>
      <c r="AM6" s="177" t="s">
        <v>17</v>
      </c>
      <c r="AN6" s="266"/>
      <c r="AO6" s="266"/>
      <c r="AP6" s="266"/>
      <c r="AQ6" s="266"/>
      <c r="AR6" s="266"/>
      <c r="AS6" s="263"/>
      <c r="AT6" s="26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1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171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53">
        <v>1</v>
      </c>
      <c r="B9" s="253" t="s">
        <v>160</v>
      </c>
      <c r="C9" s="255" t="str">
        <f>VLOOKUP(B9,DS,2,0)</f>
        <v>Lê Kim Ngọc Thảo</v>
      </c>
      <c r="D9" s="257" t="str">
        <f>VLOOKUP(B9,DS,3,0)</f>
        <v>Văn Phòng</v>
      </c>
      <c r="E9" s="68" t="s">
        <v>32</v>
      </c>
      <c r="F9" s="143">
        <v>8</v>
      </c>
      <c r="G9" s="143"/>
      <c r="H9" s="143">
        <v>8</v>
      </c>
      <c r="I9" s="143">
        <v>8</v>
      </c>
      <c r="J9" s="143">
        <v>8</v>
      </c>
      <c r="K9" s="143">
        <v>8</v>
      </c>
      <c r="L9" s="143">
        <v>8</v>
      </c>
      <c r="M9" s="143">
        <v>8</v>
      </c>
      <c r="N9" s="143"/>
      <c r="O9" s="143">
        <v>8</v>
      </c>
      <c r="P9" s="143">
        <v>8</v>
      </c>
      <c r="Q9" s="143">
        <v>8</v>
      </c>
      <c r="R9" s="143">
        <v>8</v>
      </c>
      <c r="S9" s="143">
        <v>8</v>
      </c>
      <c r="T9" s="143">
        <v>8</v>
      </c>
      <c r="U9" s="143"/>
      <c r="V9" s="143">
        <v>8</v>
      </c>
      <c r="W9" s="143">
        <v>8</v>
      </c>
      <c r="X9" s="143">
        <v>8</v>
      </c>
      <c r="Y9" s="143">
        <v>8</v>
      </c>
      <c r="Z9" s="143">
        <v>8</v>
      </c>
      <c r="AA9" s="143">
        <v>8</v>
      </c>
      <c r="AB9" s="143"/>
      <c r="AC9" s="143">
        <v>8</v>
      </c>
      <c r="AD9" s="143">
        <v>8</v>
      </c>
      <c r="AE9" s="143">
        <v>8</v>
      </c>
      <c r="AF9" s="143">
        <v>8</v>
      </c>
      <c r="AG9" s="143">
        <v>8</v>
      </c>
      <c r="AH9" s="143">
        <v>8</v>
      </c>
      <c r="AI9" s="143"/>
      <c r="AJ9" s="143">
        <v>8</v>
      </c>
      <c r="AK9" s="247">
        <f>((SUM(F9:AJ9))/8)-(SUMIF($F$6:$AJ$6,"C.Nhật",F9:AJ9)/8)</f>
        <v>26</v>
      </c>
      <c r="AL9" s="247">
        <f>SUM(F10:AJ10)/8*1.5</f>
        <v>0</v>
      </c>
      <c r="AM9" s="249">
        <f>SUMIF($F$6:$AJ$6,"C.Nhật",$F9:$AJ10)/8*2</f>
        <v>0</v>
      </c>
      <c r="AN9" s="240">
        <f>SUM(AK9:AM10)</f>
        <v>26</v>
      </c>
      <c r="AO9" s="251">
        <v>0</v>
      </c>
      <c r="AP9" s="240"/>
      <c r="AQ9" s="240"/>
      <c r="AR9" s="240"/>
      <c r="AS9" s="242"/>
      <c r="AT9" s="21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4"/>
      <c r="B10" s="254"/>
      <c r="C10" s="256"/>
      <c r="D10" s="258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8"/>
      <c r="AL10" s="248"/>
      <c r="AM10" s="250"/>
      <c r="AN10" s="241"/>
      <c r="AO10" s="252"/>
      <c r="AP10" s="241"/>
      <c r="AQ10" s="241"/>
      <c r="AR10" s="241"/>
      <c r="AS10" s="243"/>
      <c r="AT10" s="21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3">
        <f>A7+1</f>
        <v>2</v>
      </c>
      <c r="B11" s="253" t="s">
        <v>161</v>
      </c>
      <c r="C11" s="255" t="str">
        <f>VLOOKUP(B11,DS,2,0)</f>
        <v>Lê Hoàng Diệu</v>
      </c>
      <c r="D11" s="257" t="str">
        <f>VLOOKUP(B11,DS,3,0)</f>
        <v>Kinh Doanh</v>
      </c>
      <c r="E11" s="68" t="s">
        <v>32</v>
      </c>
      <c r="F11" s="143">
        <v>8</v>
      </c>
      <c r="G11" s="143"/>
      <c r="H11" s="143">
        <v>8</v>
      </c>
      <c r="I11" s="143">
        <v>8</v>
      </c>
      <c r="J11" s="143">
        <v>8</v>
      </c>
      <c r="K11" s="143">
        <v>8</v>
      </c>
      <c r="L11" s="143">
        <v>8</v>
      </c>
      <c r="M11" s="143">
        <v>8</v>
      </c>
      <c r="N11" s="143"/>
      <c r="O11" s="143">
        <v>8</v>
      </c>
      <c r="P11" s="143">
        <v>8</v>
      </c>
      <c r="Q11" s="143">
        <v>8</v>
      </c>
      <c r="R11" s="143">
        <v>8</v>
      </c>
      <c r="S11" s="143">
        <v>8</v>
      </c>
      <c r="T11" s="143">
        <v>8</v>
      </c>
      <c r="U11" s="143"/>
      <c r="V11" s="143">
        <v>8</v>
      </c>
      <c r="W11" s="143">
        <v>8</v>
      </c>
      <c r="X11" s="143">
        <v>8</v>
      </c>
      <c r="Y11" s="143">
        <v>8</v>
      </c>
      <c r="Z11" s="143">
        <v>8</v>
      </c>
      <c r="AA11" s="143">
        <v>8</v>
      </c>
      <c r="AB11" s="143"/>
      <c r="AC11" s="143">
        <v>8</v>
      </c>
      <c r="AD11" s="143">
        <v>8</v>
      </c>
      <c r="AE11" s="143">
        <v>8</v>
      </c>
      <c r="AF11" s="143">
        <v>8</v>
      </c>
      <c r="AG11" s="143">
        <v>8</v>
      </c>
      <c r="AH11" s="143">
        <v>8</v>
      </c>
      <c r="AI11" s="143"/>
      <c r="AJ11" s="143">
        <v>8</v>
      </c>
      <c r="AK11" s="247">
        <f t="shared" ref="AK11" si="2">((SUM(F11:AJ11))/8)-(SUMIF($F$6:$AJ$6,"C.Nhật",F11:AJ11)/8)</f>
        <v>26</v>
      </c>
      <c r="AL11" s="247">
        <f t="shared" ref="AL11" si="3">SUM(F12:AJ12)/8*1.5</f>
        <v>0</v>
      </c>
      <c r="AM11" s="249">
        <f t="shared" ref="AM11:AM13" si="4">SUMIF($F$6:$AJ$6,"C.Nhật",$F11:$AJ12)/8*2</f>
        <v>0</v>
      </c>
      <c r="AN11" s="240">
        <f t="shared" ref="AN11" si="5">SUM(AK11:AM12)</f>
        <v>26</v>
      </c>
      <c r="AO11" s="251">
        <v>0</v>
      </c>
      <c r="AP11" s="240"/>
      <c r="AQ11" s="240"/>
      <c r="AR11" s="240"/>
      <c r="AS11" s="242"/>
      <c r="AT11" s="21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4"/>
      <c r="B12" s="254"/>
      <c r="C12" s="256"/>
      <c r="D12" s="258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8"/>
      <c r="AL12" s="248"/>
      <c r="AM12" s="250"/>
      <c r="AN12" s="241"/>
      <c r="AO12" s="252"/>
      <c r="AP12" s="241"/>
      <c r="AQ12" s="241"/>
      <c r="AR12" s="241"/>
      <c r="AS12" s="243"/>
      <c r="AT12" s="21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3">
        <f>A9+1</f>
        <v>2</v>
      </c>
      <c r="B13" s="253" t="s">
        <v>168</v>
      </c>
      <c r="C13" s="255" t="str">
        <f>VLOOKUP(B13,DS,2,0)</f>
        <v>Trần Hòa Toản</v>
      </c>
      <c r="D13" s="257" t="str">
        <f>VLOOKUP(B13,DS,3,0)</f>
        <v>Tài xế</v>
      </c>
      <c r="E13" s="68" t="s">
        <v>32</v>
      </c>
      <c r="F13" s="143">
        <v>8</v>
      </c>
      <c r="G13" s="143"/>
      <c r="H13" s="143">
        <v>8</v>
      </c>
      <c r="I13" s="143">
        <v>8</v>
      </c>
      <c r="J13" s="143">
        <v>8</v>
      </c>
      <c r="K13" s="143">
        <v>8</v>
      </c>
      <c r="L13" s="143">
        <v>8</v>
      </c>
      <c r="M13" s="143">
        <v>8</v>
      </c>
      <c r="N13" s="143"/>
      <c r="O13" s="143">
        <v>8</v>
      </c>
      <c r="P13" s="143">
        <v>8</v>
      </c>
      <c r="Q13" s="143">
        <v>8</v>
      </c>
      <c r="R13" s="143">
        <v>8</v>
      </c>
      <c r="S13" s="143">
        <v>8</v>
      </c>
      <c r="T13" s="143">
        <v>8</v>
      </c>
      <c r="U13" s="143"/>
      <c r="V13" s="143">
        <v>8</v>
      </c>
      <c r="W13" s="143">
        <v>8</v>
      </c>
      <c r="X13" s="143">
        <v>8</v>
      </c>
      <c r="Y13" s="143">
        <v>8</v>
      </c>
      <c r="Z13" s="143">
        <v>8</v>
      </c>
      <c r="AA13" s="143">
        <v>8</v>
      </c>
      <c r="AB13" s="143"/>
      <c r="AC13" s="143">
        <v>8</v>
      </c>
      <c r="AD13" s="143">
        <v>8</v>
      </c>
      <c r="AE13" s="143">
        <v>8</v>
      </c>
      <c r="AF13" s="143">
        <v>8</v>
      </c>
      <c r="AG13" s="143">
        <v>8</v>
      </c>
      <c r="AH13" s="143">
        <v>8</v>
      </c>
      <c r="AI13" s="143"/>
      <c r="AJ13" s="143">
        <v>8</v>
      </c>
      <c r="AK13" s="247">
        <f t="shared" ref="AK13" si="6">((SUM(F13:AJ13))/8)-(SUMIF($F$6:$AJ$6,"C.Nhật",F13:AJ13)/8)</f>
        <v>26</v>
      </c>
      <c r="AL13" s="247">
        <f t="shared" ref="AL13" si="7">SUM(F14:AJ14)/8*1.5</f>
        <v>0</v>
      </c>
      <c r="AM13" s="249">
        <f t="shared" si="4"/>
        <v>0</v>
      </c>
      <c r="AN13" s="240">
        <f t="shared" ref="AN13" si="8">SUM(AK13:AM14)</f>
        <v>26</v>
      </c>
      <c r="AO13" s="251">
        <v>0</v>
      </c>
      <c r="AP13" s="240"/>
      <c r="AQ13" s="240"/>
      <c r="AR13" s="240"/>
      <c r="AS13" s="242"/>
      <c r="AT13" s="217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4"/>
      <c r="B14" s="254"/>
      <c r="C14" s="256"/>
      <c r="D14" s="258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86"/>
      <c r="AL14" s="286"/>
      <c r="AM14" s="250"/>
      <c r="AN14" s="241"/>
      <c r="AO14" s="252"/>
      <c r="AP14" s="241"/>
      <c r="AQ14" s="241"/>
      <c r="AR14" s="241"/>
      <c r="AS14" s="243"/>
      <c r="AT14" s="217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159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53">
        <v>1</v>
      </c>
      <c r="B16" s="253" t="s">
        <v>162</v>
      </c>
      <c r="C16" s="255" t="str">
        <f>VLOOKUP(B16,DS,2,0)</f>
        <v>Bùi Trường Giang</v>
      </c>
      <c r="D16" s="257" t="str">
        <f>VLOOKUP(B16,DS,3,0)</f>
        <v>Thợ in</v>
      </c>
      <c r="E16" s="68" t="s">
        <v>32</v>
      </c>
      <c r="F16" s="143">
        <v>8</v>
      </c>
      <c r="G16" s="143"/>
      <c r="H16" s="143">
        <v>8</v>
      </c>
      <c r="I16" s="143">
        <v>8</v>
      </c>
      <c r="J16" s="143">
        <v>8</v>
      </c>
      <c r="K16" s="143">
        <v>8</v>
      </c>
      <c r="L16" s="143">
        <v>8</v>
      </c>
      <c r="M16" s="143">
        <v>8</v>
      </c>
      <c r="N16" s="143"/>
      <c r="O16" s="143">
        <v>8</v>
      </c>
      <c r="P16" s="143">
        <v>8</v>
      </c>
      <c r="Q16" s="143">
        <v>8</v>
      </c>
      <c r="R16" s="143">
        <v>8</v>
      </c>
      <c r="S16" s="143">
        <v>8</v>
      </c>
      <c r="T16" s="143"/>
      <c r="U16" s="143"/>
      <c r="V16" s="143">
        <v>8</v>
      </c>
      <c r="W16" s="143">
        <v>8</v>
      </c>
      <c r="X16" s="143">
        <v>8</v>
      </c>
      <c r="Y16" s="143">
        <v>8</v>
      </c>
      <c r="Z16" s="143">
        <v>8</v>
      </c>
      <c r="AA16" s="143">
        <v>8</v>
      </c>
      <c r="AB16" s="143"/>
      <c r="AC16" s="143">
        <v>8</v>
      </c>
      <c r="AD16" s="143">
        <v>8</v>
      </c>
      <c r="AE16" s="143">
        <v>8</v>
      </c>
      <c r="AF16" s="143">
        <v>8</v>
      </c>
      <c r="AG16" s="143">
        <v>8</v>
      </c>
      <c r="AH16" s="143">
        <v>8</v>
      </c>
      <c r="AI16" s="143"/>
      <c r="AJ16" s="143">
        <v>8</v>
      </c>
      <c r="AK16" s="247">
        <f t="shared" ref="AK16" si="9">((SUM(F16:AJ16))/8)-(SUMIF($F$6:$AJ$6,"C.Nhật",F16:AJ16)/8)</f>
        <v>25</v>
      </c>
      <c r="AL16" s="247">
        <f t="shared" ref="AL16" si="10">SUM(F17:AJ17)/8*1.5</f>
        <v>0</v>
      </c>
      <c r="AM16" s="249">
        <f>SUMIF($F$6:$AJ$6,"C.Nhật",$F16:$AJ17)/8*2</f>
        <v>0</v>
      </c>
      <c r="AN16" s="240">
        <f>SUM(AK16:AM17)</f>
        <v>25</v>
      </c>
      <c r="AO16" s="251">
        <v>0</v>
      </c>
      <c r="AP16" s="240"/>
      <c r="AQ16" s="240"/>
      <c r="AR16" s="240"/>
      <c r="AS16" s="242"/>
      <c r="AT16" s="21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4"/>
      <c r="B17" s="254"/>
      <c r="C17" s="256"/>
      <c r="D17" s="258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8"/>
      <c r="AL17" s="248"/>
      <c r="AM17" s="250"/>
      <c r="AN17" s="241"/>
      <c r="AO17" s="252"/>
      <c r="AP17" s="241"/>
      <c r="AQ17" s="241"/>
      <c r="AR17" s="241"/>
      <c r="AS17" s="243"/>
      <c r="AT17" s="21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3">
        <f>A16+1</f>
        <v>2</v>
      </c>
      <c r="B18" s="253" t="s">
        <v>163</v>
      </c>
      <c r="C18" s="255" t="str">
        <f>VLOOKUP(B18,DS,2,0)</f>
        <v>Huỳnh Thanh Tùng</v>
      </c>
      <c r="D18" s="257" t="str">
        <f>VLOOKUP(B18,DS,3,0)</f>
        <v>Thợ đóng - xả</v>
      </c>
      <c r="E18" s="68" t="s">
        <v>32</v>
      </c>
      <c r="F18" s="143">
        <v>8</v>
      </c>
      <c r="G18" s="143"/>
      <c r="H18" s="143">
        <v>8</v>
      </c>
      <c r="I18" s="143">
        <v>8</v>
      </c>
      <c r="J18" s="143">
        <v>8</v>
      </c>
      <c r="K18" s="143">
        <v>8</v>
      </c>
      <c r="L18" s="143">
        <v>8</v>
      </c>
      <c r="M18" s="143">
        <v>8</v>
      </c>
      <c r="N18" s="143"/>
      <c r="O18" s="143">
        <v>8</v>
      </c>
      <c r="P18" s="143">
        <v>8</v>
      </c>
      <c r="Q18" s="143">
        <v>8</v>
      </c>
      <c r="R18" s="143">
        <v>8</v>
      </c>
      <c r="S18" s="143">
        <v>8</v>
      </c>
      <c r="T18" s="143"/>
      <c r="U18" s="143"/>
      <c r="V18" s="143">
        <v>8</v>
      </c>
      <c r="W18" s="143">
        <v>8</v>
      </c>
      <c r="X18" s="143">
        <v>8</v>
      </c>
      <c r="Y18" s="143">
        <v>8</v>
      </c>
      <c r="Z18" s="143">
        <v>8</v>
      </c>
      <c r="AA18" s="143">
        <v>8</v>
      </c>
      <c r="AB18" s="143"/>
      <c r="AC18" s="143">
        <v>8</v>
      </c>
      <c r="AD18" s="143">
        <v>8</v>
      </c>
      <c r="AE18" s="143">
        <v>8</v>
      </c>
      <c r="AF18" s="143">
        <v>8</v>
      </c>
      <c r="AG18" s="143">
        <v>8</v>
      </c>
      <c r="AH18" s="143">
        <v>8</v>
      </c>
      <c r="AI18" s="143"/>
      <c r="AJ18" s="143">
        <v>8</v>
      </c>
      <c r="AK18" s="247">
        <f t="shared" ref="AK18" si="11">((SUM(F18:AJ18))/8)-(SUMIF($F$6:$AJ$6,"C.Nhật",F18:AJ18)/8)</f>
        <v>25</v>
      </c>
      <c r="AL18" s="247">
        <f t="shared" ref="AL18" si="12">SUM(F19:AJ19)/8*1.5</f>
        <v>0</v>
      </c>
      <c r="AM18" s="249">
        <f>SUMIF($F$6:$AJ$6,"C.Nhật",$F18:$AJ19)/8*2</f>
        <v>0</v>
      </c>
      <c r="AN18" s="240">
        <f t="shared" ref="AN18" si="13">SUM(AK18:AM19)</f>
        <v>25</v>
      </c>
      <c r="AO18" s="251">
        <v>0</v>
      </c>
      <c r="AP18" s="240"/>
      <c r="AQ18" s="240"/>
      <c r="AR18" s="240"/>
      <c r="AS18" s="242"/>
      <c r="AT18" s="21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4"/>
      <c r="B19" s="254"/>
      <c r="C19" s="256"/>
      <c r="D19" s="258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8"/>
      <c r="AL19" s="248"/>
      <c r="AM19" s="250"/>
      <c r="AN19" s="241"/>
      <c r="AO19" s="252"/>
      <c r="AP19" s="241"/>
      <c r="AQ19" s="241"/>
      <c r="AR19" s="241"/>
      <c r="AS19" s="243"/>
      <c r="AT19" s="21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3">
        <f t="shared" ref="A20" si="14">A18+1</f>
        <v>3</v>
      </c>
      <c r="B20" s="253" t="s">
        <v>164</v>
      </c>
      <c r="C20" s="255" t="str">
        <f>VLOOKUP(B20,DS,2,0)</f>
        <v>Danh Sà Phép</v>
      </c>
      <c r="D20" s="257" t="str">
        <f>VLOOKUP(B20,DS,3,0)</f>
        <v>Công nhân</v>
      </c>
      <c r="E20" s="68" t="s">
        <v>32</v>
      </c>
      <c r="F20" s="143">
        <v>8</v>
      </c>
      <c r="G20" s="143"/>
      <c r="H20" s="143">
        <v>8</v>
      </c>
      <c r="I20" s="143">
        <v>8</v>
      </c>
      <c r="J20" s="143">
        <v>8</v>
      </c>
      <c r="K20" s="143">
        <v>8</v>
      </c>
      <c r="L20" s="143">
        <v>8</v>
      </c>
      <c r="M20" s="143">
        <v>8</v>
      </c>
      <c r="N20" s="143"/>
      <c r="O20" s="143">
        <v>8</v>
      </c>
      <c r="P20" s="143">
        <v>8</v>
      </c>
      <c r="Q20" s="143">
        <v>8</v>
      </c>
      <c r="R20" s="143">
        <v>8</v>
      </c>
      <c r="S20" s="143">
        <v>8</v>
      </c>
      <c r="T20" s="143"/>
      <c r="U20" s="143"/>
      <c r="V20" s="143">
        <v>8</v>
      </c>
      <c r="W20" s="143">
        <v>8</v>
      </c>
      <c r="X20" s="143">
        <v>8</v>
      </c>
      <c r="Y20" s="143">
        <v>8</v>
      </c>
      <c r="Z20" s="143">
        <v>8</v>
      </c>
      <c r="AA20" s="143">
        <v>8</v>
      </c>
      <c r="AB20" s="143"/>
      <c r="AC20" s="143">
        <v>8</v>
      </c>
      <c r="AD20" s="143">
        <v>8</v>
      </c>
      <c r="AE20" s="143">
        <v>8</v>
      </c>
      <c r="AF20" s="143">
        <v>8</v>
      </c>
      <c r="AG20" s="143">
        <v>8</v>
      </c>
      <c r="AH20" s="143">
        <v>8</v>
      </c>
      <c r="AI20" s="143"/>
      <c r="AJ20" s="143">
        <v>8</v>
      </c>
      <c r="AK20" s="247">
        <f t="shared" ref="AK20" si="15">((SUM(F20:AJ20))/8)-(SUMIF($F$6:$AJ$6,"C.Nhật",F20:AJ20)/8)</f>
        <v>25</v>
      </c>
      <c r="AL20" s="247">
        <f t="shared" ref="AL20" si="16">SUM(F21:AJ21)/8*1.5</f>
        <v>0</v>
      </c>
      <c r="AM20" s="249">
        <f>SUMIF($F$6:$AJ$6,"C.Nhật",$F20:$AJ21)/8*2</f>
        <v>0</v>
      </c>
      <c r="AN20" s="240">
        <f t="shared" ref="AN20" si="17">SUM(AK20:AM21)</f>
        <v>25</v>
      </c>
      <c r="AO20" s="251">
        <v>0</v>
      </c>
      <c r="AP20" s="240"/>
      <c r="AQ20" s="240"/>
      <c r="AR20" s="240"/>
      <c r="AS20" s="242"/>
      <c r="AT20" s="21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4"/>
      <c r="B21" s="254"/>
      <c r="C21" s="256"/>
      <c r="D21" s="258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8"/>
      <c r="AL21" s="248"/>
      <c r="AM21" s="250"/>
      <c r="AN21" s="241"/>
      <c r="AO21" s="252"/>
      <c r="AP21" s="241"/>
      <c r="AQ21" s="241"/>
      <c r="AR21" s="241"/>
      <c r="AS21" s="243"/>
      <c r="AT21" s="21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215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215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1:91" s="215" customFormat="1" ht="15" customHeight="1">
      <c r="A33" s="2"/>
      <c r="B33" s="2"/>
      <c r="C33" s="2" t="s">
        <v>49</v>
      </c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5" customFormat="1" ht="15" customHeight="1">
      <c r="A34" s="2"/>
      <c r="B34" s="2"/>
      <c r="C34" s="2" t="s">
        <v>50</v>
      </c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15" customFormat="1" ht="15" customHeight="1">
      <c r="A35" s="2"/>
      <c r="B35" s="2"/>
      <c r="C35" s="2" t="s">
        <v>51</v>
      </c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15" customFormat="1" ht="15" customHeight="1">
      <c r="A36" s="2"/>
      <c r="B36" s="2"/>
      <c r="C36" s="2" t="s">
        <v>52</v>
      </c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215" customFormat="1" ht="15" customHeight="1">
      <c r="A37" s="2"/>
      <c r="B37" s="2"/>
      <c r="C37" s="2" t="s">
        <v>53</v>
      </c>
      <c r="E37" s="2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  <c r="AH37" s="124"/>
      <c r="AI37" s="124"/>
      <c r="AJ37" s="124"/>
      <c r="AK37" s="2"/>
      <c r="AL37" s="2"/>
      <c r="AM37" s="100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215" customFormat="1" ht="15" customHeight="1">
      <c r="A38" s="2"/>
      <c r="B38" s="2"/>
      <c r="C38" s="2" t="s">
        <v>54</v>
      </c>
      <c r="E38" s="2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  <c r="AB38" s="123"/>
      <c r="AC38" s="123"/>
      <c r="AD38" s="123"/>
      <c r="AE38" s="123"/>
      <c r="AF38" s="123"/>
      <c r="AG38" s="123"/>
      <c r="AH38" s="124"/>
      <c r="AI38" s="124"/>
      <c r="AJ38" s="124"/>
      <c r="AK38" s="2"/>
      <c r="AL38" s="2"/>
      <c r="AM38" s="100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A16:A21 C16:E21" name="Range1_6_2"/>
    <protectedRange password="CC78" sqref="B16:B21" name="Range1_4_2"/>
  </protectedRanges>
  <mergeCells count="92">
    <mergeCell ref="AS13:AS14"/>
    <mergeCell ref="AR13:AR14"/>
    <mergeCell ref="AQ13:AQ14"/>
    <mergeCell ref="AP13:AP14"/>
    <mergeCell ref="AL13:AL14"/>
    <mergeCell ref="AM13:AM14"/>
    <mergeCell ref="AN13:AN14"/>
    <mergeCell ref="AO13:AO14"/>
    <mergeCell ref="A20:A21"/>
    <mergeCell ref="B20:B21"/>
    <mergeCell ref="C20:C21"/>
    <mergeCell ref="D20:D21"/>
    <mergeCell ref="AK20:AK21"/>
    <mergeCell ref="AL20:AL21"/>
    <mergeCell ref="AS18:AS19"/>
    <mergeCell ref="AM18:AM19"/>
    <mergeCell ref="AN18:AN19"/>
    <mergeCell ref="AO18:AO19"/>
    <mergeCell ref="AP18:AP19"/>
    <mergeCell ref="AQ18:AQ19"/>
    <mergeCell ref="AR18:AR19"/>
    <mergeCell ref="AS20:AS21"/>
    <mergeCell ref="AM20:AM21"/>
    <mergeCell ref="AN20:AN21"/>
    <mergeCell ref="AO20:AO21"/>
    <mergeCell ref="AP20:AP21"/>
    <mergeCell ref="AQ20:AQ21"/>
    <mergeCell ref="AR20:AR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L16:AL17"/>
    <mergeCell ref="AM16:AM17"/>
    <mergeCell ref="AN16:AN17"/>
    <mergeCell ref="AO16:AO17"/>
    <mergeCell ref="A16:A17"/>
    <mergeCell ref="B16:B17"/>
    <mergeCell ref="C16:C17"/>
    <mergeCell ref="D16:D17"/>
    <mergeCell ref="AK16:AK17"/>
    <mergeCell ref="AK13:AK14"/>
    <mergeCell ref="D13:D14"/>
    <mergeCell ref="C13:C14"/>
    <mergeCell ref="B13:B14"/>
    <mergeCell ref="A13:A14"/>
    <mergeCell ref="AP11:AP12"/>
    <mergeCell ref="AQ11:AQ12"/>
    <mergeCell ref="AR11:AR12"/>
    <mergeCell ref="A11:A12"/>
    <mergeCell ref="B11:B12"/>
    <mergeCell ref="C11:C12"/>
    <mergeCell ref="D11:D12"/>
    <mergeCell ref="AK11:AK12"/>
    <mergeCell ref="AS11:AS12"/>
    <mergeCell ref="AL11:AL12"/>
    <mergeCell ref="AM11:AM12"/>
    <mergeCell ref="AN11:AN12"/>
    <mergeCell ref="AO11:AO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4">
    <cfRule type="expression" dxfId="44" priority="16" stopIfTrue="1">
      <formula>IF(WEEKDAY(F$5)=1,TRUE,FALSE)</formula>
    </cfRule>
  </conditionalFormatting>
  <conditionalFormatting sqref="F9:AJ14">
    <cfRule type="expression" dxfId="43" priority="15" stopIfTrue="1">
      <formula>IF(WEEKDAY(F$5)=1,TRUE,FALSE)</formula>
    </cfRule>
  </conditionalFormatting>
  <conditionalFormatting sqref="F16:AJ19">
    <cfRule type="expression" dxfId="42" priority="4" stopIfTrue="1">
      <formula>IF(WEEKDAY(F$5)=1,TRUE,FALSE)</formula>
    </cfRule>
  </conditionalFormatting>
  <conditionalFormatting sqref="F16:AJ19">
    <cfRule type="expression" dxfId="41" priority="3" stopIfTrue="1">
      <formula>IF(WEEKDAY(F$5)=1,TRUE,FALSE)</formula>
    </cfRule>
  </conditionalFormatting>
  <conditionalFormatting sqref="F20:AJ21">
    <cfRule type="expression" dxfId="40" priority="2" stopIfTrue="1">
      <formula>IF(WEEKDAY(F$5)=1,TRUE,FALSE)</formula>
    </cfRule>
  </conditionalFormatting>
  <conditionalFormatting sqref="F20:AJ21">
    <cfRule type="expression" dxfId="39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S20" activeCellId="1" sqref="S14 S20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18"/>
      <c r="C1" s="218"/>
      <c r="D1" s="277" t="str">
        <f>"BẢNG THANH TOÁN LƯƠNG THÁNG"&amp;" "&amp;TEXT($E$4,"mm")&amp;" / "&amp;TEXT($E$4,"yyyy")</f>
        <v>BẢNG THANH TOÁN LƯƠNG THÁNG 10 / 2011</v>
      </c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8"/>
      <c r="R1" s="271" t="s">
        <v>170</v>
      </c>
      <c r="S1" s="272"/>
      <c r="T1" s="273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18"/>
      <c r="C2" s="218"/>
      <c r="D2" s="218"/>
      <c r="E2" s="81"/>
      <c r="F2" s="218"/>
      <c r="G2" s="218"/>
      <c r="H2" s="218"/>
      <c r="I2" s="218"/>
      <c r="J2" s="82"/>
      <c r="K2" s="218"/>
      <c r="L2" s="218"/>
      <c r="M2" s="218"/>
      <c r="N2" s="218"/>
      <c r="O2" s="218"/>
      <c r="P2" s="218"/>
      <c r="Q2" s="218"/>
      <c r="R2" s="218"/>
      <c r="S2" s="218"/>
      <c r="T2" s="59"/>
      <c r="U2" s="80"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18"/>
      <c r="C3" s="218"/>
      <c r="D3" s="218"/>
      <c r="E3" s="81"/>
      <c r="F3" s="218"/>
      <c r="G3" s="218"/>
      <c r="H3" s="218"/>
      <c r="I3" s="218"/>
      <c r="J3" s="82"/>
      <c r="K3" s="218"/>
      <c r="L3" s="218"/>
      <c r="M3" s="218"/>
      <c r="N3" s="218"/>
      <c r="O3" s="218"/>
      <c r="P3" s="218"/>
      <c r="Q3" s="218"/>
      <c r="R3" s="218"/>
      <c r="S3" s="218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-10'!$E$4</f>
        <v>40817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9" t="s">
        <v>19</v>
      </c>
      <c r="B5" s="279" t="s">
        <v>20</v>
      </c>
      <c r="C5" s="233" t="s">
        <v>1</v>
      </c>
      <c r="D5" s="233" t="s">
        <v>2</v>
      </c>
      <c r="E5" s="228" t="s">
        <v>56</v>
      </c>
      <c r="F5" s="281" t="s">
        <v>26</v>
      </c>
      <c r="G5" s="283"/>
      <c r="H5" s="283"/>
      <c r="I5" s="283"/>
      <c r="J5" s="283"/>
      <c r="K5" s="282"/>
      <c r="L5" s="268" t="s">
        <v>57</v>
      </c>
      <c r="M5" s="268" t="s">
        <v>5</v>
      </c>
      <c r="N5" s="233" t="s">
        <v>6</v>
      </c>
      <c r="O5" s="233"/>
      <c r="P5" s="233"/>
      <c r="Q5" s="268" t="s">
        <v>7</v>
      </c>
      <c r="R5" s="268" t="s">
        <v>8</v>
      </c>
      <c r="S5" s="268" t="s">
        <v>9</v>
      </c>
      <c r="T5" s="22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80"/>
      <c r="B6" s="280"/>
      <c r="C6" s="233"/>
      <c r="D6" s="233"/>
      <c r="E6" s="228"/>
      <c r="F6" s="281" t="s">
        <v>59</v>
      </c>
      <c r="G6" s="282"/>
      <c r="H6" s="281" t="s">
        <v>158</v>
      </c>
      <c r="I6" s="283"/>
      <c r="J6" s="284" t="s">
        <v>27</v>
      </c>
      <c r="K6" s="268" t="s">
        <v>4</v>
      </c>
      <c r="L6" s="269"/>
      <c r="M6" s="269"/>
      <c r="N6" s="274" t="s">
        <v>12</v>
      </c>
      <c r="O6" s="268" t="s">
        <v>13</v>
      </c>
      <c r="P6" s="268" t="s">
        <v>34</v>
      </c>
      <c r="Q6" s="269"/>
      <c r="R6" s="269"/>
      <c r="S6" s="269"/>
      <c r="T6" s="23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80"/>
      <c r="B7" s="280"/>
      <c r="C7" s="268"/>
      <c r="D7" s="268"/>
      <c r="E7" s="228"/>
      <c r="F7" s="219" t="s">
        <v>40</v>
      </c>
      <c r="G7" s="216" t="s">
        <v>18</v>
      </c>
      <c r="H7" s="219" t="s">
        <v>40</v>
      </c>
      <c r="I7" s="128" t="s">
        <v>18</v>
      </c>
      <c r="J7" s="285"/>
      <c r="K7" s="269"/>
      <c r="L7" s="270"/>
      <c r="M7" s="270"/>
      <c r="N7" s="275"/>
      <c r="O7" s="269"/>
      <c r="P7" s="269"/>
      <c r="Q7" s="269"/>
      <c r="R7" s="269"/>
      <c r="S7" s="269"/>
      <c r="T7" s="23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171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160</v>
      </c>
      <c r="C10" s="89" t="str">
        <f t="shared" ref="C10:C12" si="0">VLOOKUP(B10,DS,2,0)</f>
        <v>Lê Kim Ngọc Thảo</v>
      </c>
      <c r="D10" s="116" t="str">
        <f t="shared" ref="D10:D12" si="1">VLOOKUP(B10,DS,3,0)</f>
        <v>Văn Phòng</v>
      </c>
      <c r="E10" s="90">
        <f t="shared" ref="E10:E12" si="2">VLOOKUP(B10,DS,4,0)</f>
        <v>2500000</v>
      </c>
      <c r="F10" s="92">
        <f>VLOOKUP(B10,'CC -10'!$B$8:$AS$21,36,0)</f>
        <v>26</v>
      </c>
      <c r="G10" s="145">
        <f t="shared" ref="G10:G12" si="3">ROUND(E10/$U$2*F10,0)</f>
        <v>2500000</v>
      </c>
      <c r="H10" s="92">
        <f>(VLOOKUP(B10,'CC -10'!$B$8:$AS$21,37,0)+VLOOKUP(B10,'CC -10'!$B$8:$AS$21,38,0))</f>
        <v>0</v>
      </c>
      <c r="I10" s="145">
        <f t="shared" ref="I10:I12" si="4">ROUND(E10/$U$2*H10,0)</f>
        <v>0</v>
      </c>
      <c r="J10" s="93">
        <f t="shared" ref="J10:K12" si="5">F10+H10</f>
        <v>26</v>
      </c>
      <c r="K10" s="39">
        <f>G10+I10</f>
        <v>2500000</v>
      </c>
      <c r="L10" s="90">
        <f t="shared" ref="L10:L11" si="6">+F10*15000</f>
        <v>390000</v>
      </c>
      <c r="M10" s="40">
        <f t="shared" ref="M10:M12" si="7">K10+L10</f>
        <v>2890000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2890000</v>
      </c>
      <c r="R10" s="39">
        <f>VLOOKUP(B10,DS,23,0)</f>
        <v>0</v>
      </c>
      <c r="S10" s="45">
        <f t="shared" ref="S10:S12" si="9">Q10-R10</f>
        <v>2890000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161</v>
      </c>
      <c r="C11" s="89" t="str">
        <f t="shared" si="0"/>
        <v>Lê Hoàng Diệu</v>
      </c>
      <c r="D11" s="116" t="str">
        <f t="shared" si="1"/>
        <v>Kinh Doanh</v>
      </c>
      <c r="E11" s="90">
        <f t="shared" si="2"/>
        <v>2400000</v>
      </c>
      <c r="F11" s="92">
        <f>VLOOKUP(B11,'CC -10'!$B$8:$AS$21,36,0)</f>
        <v>26</v>
      </c>
      <c r="G11" s="145">
        <f t="shared" si="3"/>
        <v>2400000</v>
      </c>
      <c r="H11" s="92">
        <f>(VLOOKUP(B11,'CC -10'!$B$8:$AS$21,37,0)+VLOOKUP(B11,'CC -10'!$B$8:$AS$21,38,0))</f>
        <v>0</v>
      </c>
      <c r="I11" s="145">
        <f t="shared" si="4"/>
        <v>0</v>
      </c>
      <c r="J11" s="93">
        <f t="shared" si="5"/>
        <v>26</v>
      </c>
      <c r="K11" s="39">
        <f t="shared" si="5"/>
        <v>2400000</v>
      </c>
      <c r="L11" s="90">
        <f t="shared" si="6"/>
        <v>390000</v>
      </c>
      <c r="M11" s="40">
        <f t="shared" si="7"/>
        <v>2790000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2790000</v>
      </c>
      <c r="R11" s="39">
        <f>VLOOKUP(B11,DS,23,0)</f>
        <v>0</v>
      </c>
      <c r="S11" s="45">
        <f t="shared" si="9"/>
        <v>2790000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168</v>
      </c>
      <c r="C12" s="89" t="str">
        <f t="shared" si="0"/>
        <v>Trần Hòa Toản</v>
      </c>
      <c r="D12" s="116" t="str">
        <f t="shared" si="1"/>
        <v>Tài xế</v>
      </c>
      <c r="E12" s="90">
        <f t="shared" si="2"/>
        <v>2350000</v>
      </c>
      <c r="F12" s="92">
        <f>VLOOKUP(B12,'CC -10'!$B$8:$AS$21,36,0)</f>
        <v>26</v>
      </c>
      <c r="G12" s="145">
        <f t="shared" si="3"/>
        <v>2350000</v>
      </c>
      <c r="H12" s="92">
        <f>(VLOOKUP(B12,'CC -10'!$B$8:$AS$21,37,0)+VLOOKUP(B12,'CC -10'!$B$8:$AS$21,38,0))</f>
        <v>0</v>
      </c>
      <c r="I12" s="145">
        <f t="shared" si="4"/>
        <v>0</v>
      </c>
      <c r="J12" s="93">
        <f t="shared" si="5"/>
        <v>26</v>
      </c>
      <c r="K12" s="39">
        <f t="shared" si="5"/>
        <v>2350000</v>
      </c>
      <c r="L12" s="90">
        <v>277500</v>
      </c>
      <c r="M12" s="40">
        <f t="shared" si="7"/>
        <v>2627500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2627500</v>
      </c>
      <c r="R12" s="39">
        <f>VLOOKUP(B12,DS,23,0)</f>
        <v>0</v>
      </c>
      <c r="S12" s="45">
        <f t="shared" si="9"/>
        <v>2627500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76" t="s">
        <v>25</v>
      </c>
      <c r="B14" s="276"/>
      <c r="C14" s="276"/>
      <c r="D14" s="276"/>
      <c r="E14" s="140">
        <f>SUM(E9:E12)</f>
        <v>7250000</v>
      </c>
      <c r="F14" s="140"/>
      <c r="G14" s="140">
        <f>SUM(G9:G12)</f>
        <v>7250000</v>
      </c>
      <c r="H14" s="140"/>
      <c r="I14" s="140">
        <f>SUM(I9:I12)</f>
        <v>0</v>
      </c>
      <c r="J14" s="140"/>
      <c r="K14" s="140">
        <f t="shared" ref="K14:S14" si="10">SUM(K9:K12)</f>
        <v>7250000</v>
      </c>
      <c r="L14" s="140">
        <f t="shared" si="10"/>
        <v>1057500</v>
      </c>
      <c r="M14" s="140">
        <f t="shared" si="10"/>
        <v>8307500</v>
      </c>
      <c r="N14" s="140">
        <f t="shared" si="10"/>
        <v>0</v>
      </c>
      <c r="O14" s="140">
        <f t="shared" si="10"/>
        <v>0</v>
      </c>
      <c r="P14" s="140">
        <f t="shared" si="10"/>
        <v>0</v>
      </c>
      <c r="Q14" s="140">
        <f t="shared" si="10"/>
        <v>8307500</v>
      </c>
      <c r="R14" s="140">
        <f t="shared" si="10"/>
        <v>0</v>
      </c>
      <c r="S14" s="140">
        <f t="shared" si="10"/>
        <v>8307500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162</v>
      </c>
      <c r="C16" s="89" t="str">
        <f t="shared" ref="C16:C18" si="11">VLOOKUP(B16,DS,2,0)</f>
        <v>Bùi Trường Giang</v>
      </c>
      <c r="D16" s="116" t="str">
        <f t="shared" ref="D16:D18" si="12">VLOOKUP(B16,DS,3,0)</f>
        <v>Thợ in</v>
      </c>
      <c r="E16" s="90">
        <f t="shared" ref="E16:E18" si="13">VLOOKUP(B16,DS,4,0)</f>
        <v>1800000</v>
      </c>
      <c r="F16" s="92">
        <f>VLOOKUP(B16,'CC -10'!$B$8:$AS$21,36,0)</f>
        <v>25</v>
      </c>
      <c r="G16" s="145">
        <f t="shared" ref="G16:G18" si="14">ROUND(E16/$U$2*F16,0)</f>
        <v>1730769</v>
      </c>
      <c r="H16" s="92">
        <f>(VLOOKUP(B16,'CC -10'!$B$8:$AS$21,37,0)+VLOOKUP(B16,'CC -10'!$B$8:$AS$21,38,0))</f>
        <v>0</v>
      </c>
      <c r="I16" s="145">
        <f t="shared" ref="I16:I18" si="15">ROUND(E16/$U$2*H16,0)</f>
        <v>0</v>
      </c>
      <c r="J16" s="146">
        <f t="shared" ref="J16:K18" si="16">F16+H16</f>
        <v>25</v>
      </c>
      <c r="K16" s="39">
        <f t="shared" si="16"/>
        <v>1730769</v>
      </c>
      <c r="L16" s="90">
        <f t="shared" ref="L16:L18" si="17">+F16*15000</f>
        <v>375000</v>
      </c>
      <c r="M16" s="40">
        <f t="shared" ref="M16:M18" si="18">K16+L16</f>
        <v>2105769</v>
      </c>
      <c r="N16" s="40">
        <f>IF(VLOOKUP(B16,DS,9,0)="x",'L - 10'!E16*$N$4,0)</f>
        <v>0</v>
      </c>
      <c r="O16" s="40">
        <f t="shared" ref="O16:O18" si="19">IF(VLOOKUP(B16,DS,9,0)="x",E16*0.015,0)</f>
        <v>0</v>
      </c>
      <c r="P16" s="40">
        <f t="shared" ref="P16:P18" si="20">IF(VLOOKUP(B16,DS,9,0)="x",E16*0.01,0)</f>
        <v>0</v>
      </c>
      <c r="Q16" s="39">
        <f>M16-SUM(N16:P16)</f>
        <v>2105769</v>
      </c>
      <c r="R16" s="39">
        <f t="shared" ref="R16:R18" si="21">VLOOKUP(B16,DS,23,0)</f>
        <v>0</v>
      </c>
      <c r="S16" s="45">
        <f>Q16-R16</f>
        <v>2105769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163</v>
      </c>
      <c r="C17" s="89" t="str">
        <f t="shared" si="11"/>
        <v>Huỳnh Thanh Tùng</v>
      </c>
      <c r="D17" s="116" t="str">
        <f t="shared" si="12"/>
        <v>Thợ đóng - xả</v>
      </c>
      <c r="E17" s="90">
        <f t="shared" si="13"/>
        <v>1800000</v>
      </c>
      <c r="F17" s="92">
        <f>VLOOKUP(B17,'CC -10'!$B$8:$AS$21,36,0)</f>
        <v>25</v>
      </c>
      <c r="G17" s="145">
        <f t="shared" si="14"/>
        <v>1730769</v>
      </c>
      <c r="H17" s="92">
        <f>(VLOOKUP(B17,'CC -10'!$B$8:$AS$21,37,0)+VLOOKUP(B17,'CC -10'!$B$8:$AS$21,38,0))</f>
        <v>0</v>
      </c>
      <c r="I17" s="145">
        <f t="shared" si="15"/>
        <v>0</v>
      </c>
      <c r="J17" s="146">
        <f t="shared" si="16"/>
        <v>25</v>
      </c>
      <c r="K17" s="39">
        <f t="shared" si="16"/>
        <v>1730769</v>
      </c>
      <c r="L17" s="90">
        <f t="shared" si="17"/>
        <v>375000</v>
      </c>
      <c r="M17" s="40">
        <f t="shared" si="18"/>
        <v>2105769</v>
      </c>
      <c r="N17" s="40">
        <f>IF(VLOOKUP(B17,DS,9,0)="x",'L - 10'!E17*$N$4,0)</f>
        <v>0</v>
      </c>
      <c r="O17" s="40">
        <f t="shared" si="19"/>
        <v>0</v>
      </c>
      <c r="P17" s="40">
        <f t="shared" si="20"/>
        <v>0</v>
      </c>
      <c r="Q17" s="39">
        <f t="shared" ref="Q17:Q18" si="22">M17-SUM(N17:P17)</f>
        <v>2105769</v>
      </c>
      <c r="R17" s="39">
        <f t="shared" si="21"/>
        <v>0</v>
      </c>
      <c r="S17" s="45">
        <f t="shared" ref="S17:S18" si="23">Q17-R17</f>
        <v>2105769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164</v>
      </c>
      <c r="C18" s="89" t="str">
        <f t="shared" si="11"/>
        <v>Danh Sà Phép</v>
      </c>
      <c r="D18" s="116" t="str">
        <f t="shared" si="12"/>
        <v>Công nhân</v>
      </c>
      <c r="E18" s="90">
        <f t="shared" si="13"/>
        <v>1500000</v>
      </c>
      <c r="F18" s="92">
        <f>VLOOKUP(B18,'CC -10'!$B$8:$AS$21,36,0)</f>
        <v>25</v>
      </c>
      <c r="G18" s="145">
        <f t="shared" si="14"/>
        <v>1442308</v>
      </c>
      <c r="H18" s="92">
        <f>(VLOOKUP(B18,'CC -10'!$B$8:$AS$21,37,0)+VLOOKUP(B18,'CC -10'!$B$8:$AS$21,38,0))</f>
        <v>0</v>
      </c>
      <c r="I18" s="145">
        <f t="shared" si="15"/>
        <v>0</v>
      </c>
      <c r="J18" s="146">
        <f t="shared" si="16"/>
        <v>25</v>
      </c>
      <c r="K18" s="39">
        <f t="shared" si="16"/>
        <v>1442308</v>
      </c>
      <c r="L18" s="90">
        <f t="shared" si="17"/>
        <v>375000</v>
      </c>
      <c r="M18" s="40">
        <f t="shared" si="18"/>
        <v>1817308</v>
      </c>
      <c r="N18" s="40">
        <f>IF(VLOOKUP(B18,DS,9,0)="x",'L - 10'!E18*$N$4,0)</f>
        <v>0</v>
      </c>
      <c r="O18" s="40">
        <f t="shared" si="19"/>
        <v>0</v>
      </c>
      <c r="P18" s="40">
        <f t="shared" si="20"/>
        <v>0</v>
      </c>
      <c r="Q18" s="39">
        <f t="shared" si="22"/>
        <v>1817308</v>
      </c>
      <c r="R18" s="39">
        <f t="shared" si="21"/>
        <v>0</v>
      </c>
      <c r="S18" s="45">
        <f t="shared" si="23"/>
        <v>1817308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76" t="s">
        <v>25</v>
      </c>
      <c r="B20" s="276"/>
      <c r="C20" s="276"/>
      <c r="D20" s="276"/>
      <c r="E20" s="140">
        <f>SUM(E15:E19)</f>
        <v>5100000</v>
      </c>
      <c r="F20" s="140"/>
      <c r="G20" s="140">
        <f>SUM(G15:G19)</f>
        <v>4903846</v>
      </c>
      <c r="H20" s="140"/>
      <c r="I20" s="140">
        <f>SUM(I15:I19)</f>
        <v>0</v>
      </c>
      <c r="J20" s="140"/>
      <c r="K20" s="140">
        <f t="shared" ref="K20:S20" si="24">SUM(K15:K19)</f>
        <v>4903846</v>
      </c>
      <c r="L20" s="140">
        <f t="shared" si="24"/>
        <v>1125000</v>
      </c>
      <c r="M20" s="140">
        <f t="shared" si="24"/>
        <v>6028846</v>
      </c>
      <c r="N20" s="140">
        <f t="shared" si="24"/>
        <v>0</v>
      </c>
      <c r="O20" s="140">
        <f t="shared" si="24"/>
        <v>0</v>
      </c>
      <c r="P20" s="140">
        <f t="shared" si="24"/>
        <v>0</v>
      </c>
      <c r="Q20" s="140">
        <f t="shared" si="24"/>
        <v>6028846</v>
      </c>
      <c r="R20" s="140">
        <f t="shared" si="24"/>
        <v>0</v>
      </c>
      <c r="S20" s="140">
        <f t="shared" si="24"/>
        <v>6028846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10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AF5:IK13 E5:I6 D20 N5:P6 L5 L23 J6:K7 L7 A26:T59 U32:U59 N19:S19 V26:IK59 W10:W13 J19:L19 A60:IK65327 AF15:IK15 V14:IK14 D14 Q10:S13 A10:B14" name="Range1"/>
    <protectedRange password="CC78" sqref="F7:H7" name="Range1_4"/>
    <protectedRange password="CC78" sqref="V23:IK24 S23:T24 N23:Q24 E23:I24" name="Range1_1_1"/>
    <protectedRange password="CC78" sqref="U1 W1:IK3 V4:IK4 B4:T4 X5:AE13 R2:S3 B1:Q3 U19:U31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W16:W18 Q16:S18 A16:B18 AF16:IK18" name="Range1_5"/>
    <protectedRange password="CC78" sqref="U16:U18 X16:AE18" name="Range1_2_3"/>
    <protectedRange password="CC78" sqref="V16:V18" name="Range1_1_3"/>
    <protectedRange password="CC78" sqref="K10:K13 K16:K18" name="Range1_6"/>
    <protectedRange password="CC78" sqref="A2:A3" name="Range1_2_1_3"/>
    <protectedRange password="CC78" sqref="E14:T14" name="Range1_3"/>
    <protectedRange password="CC78" sqref="E20:T20" name="Range1_7"/>
  </protectedRanges>
  <autoFilter ref="A7:AE10"/>
  <mergeCells count="24">
    <mergeCell ref="A14:D14"/>
    <mergeCell ref="A20:D20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I18" sqref="I18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5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11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44" t="s">
        <v>170</v>
      </c>
      <c r="AN1" s="245"/>
      <c r="AO1" s="245"/>
      <c r="AP1" s="245"/>
      <c r="AQ1" s="245"/>
      <c r="AR1" s="245"/>
      <c r="AS1" s="246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40848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2" t="s">
        <v>28</v>
      </c>
      <c r="B5" s="262" t="s">
        <v>3</v>
      </c>
      <c r="C5" s="262" t="s">
        <v>1</v>
      </c>
      <c r="D5" s="264" t="s">
        <v>29</v>
      </c>
      <c r="E5" s="262" t="s">
        <v>30</v>
      </c>
      <c r="F5" s="118">
        <f>+E4</f>
        <v>40848</v>
      </c>
      <c r="G5" s="118">
        <f t="shared" ref="G5:AJ5" si="0">F5+1</f>
        <v>40849</v>
      </c>
      <c r="H5" s="118">
        <f t="shared" si="0"/>
        <v>40850</v>
      </c>
      <c r="I5" s="118">
        <f t="shared" si="0"/>
        <v>40851</v>
      </c>
      <c r="J5" s="118">
        <f t="shared" si="0"/>
        <v>40852</v>
      </c>
      <c r="K5" s="118">
        <f t="shared" si="0"/>
        <v>40853</v>
      </c>
      <c r="L5" s="118">
        <f t="shared" si="0"/>
        <v>40854</v>
      </c>
      <c r="M5" s="118">
        <f t="shared" si="0"/>
        <v>40855</v>
      </c>
      <c r="N5" s="118">
        <f t="shared" si="0"/>
        <v>40856</v>
      </c>
      <c r="O5" s="118">
        <f t="shared" si="0"/>
        <v>40857</v>
      </c>
      <c r="P5" s="118">
        <f t="shared" si="0"/>
        <v>40858</v>
      </c>
      <c r="Q5" s="118">
        <f t="shared" si="0"/>
        <v>40859</v>
      </c>
      <c r="R5" s="118">
        <f t="shared" si="0"/>
        <v>40860</v>
      </c>
      <c r="S5" s="118">
        <f t="shared" si="0"/>
        <v>40861</v>
      </c>
      <c r="T5" s="118">
        <f t="shared" si="0"/>
        <v>40862</v>
      </c>
      <c r="U5" s="118">
        <f t="shared" si="0"/>
        <v>40863</v>
      </c>
      <c r="V5" s="118">
        <f t="shared" si="0"/>
        <v>40864</v>
      </c>
      <c r="W5" s="118">
        <f t="shared" si="0"/>
        <v>40865</v>
      </c>
      <c r="X5" s="118">
        <f t="shared" si="0"/>
        <v>40866</v>
      </c>
      <c r="Y5" s="118">
        <f t="shared" si="0"/>
        <v>40867</v>
      </c>
      <c r="Z5" s="118">
        <f t="shared" si="0"/>
        <v>40868</v>
      </c>
      <c r="AA5" s="118">
        <f t="shared" si="0"/>
        <v>40869</v>
      </c>
      <c r="AB5" s="118">
        <f t="shared" si="0"/>
        <v>40870</v>
      </c>
      <c r="AC5" s="118">
        <f t="shared" si="0"/>
        <v>40871</v>
      </c>
      <c r="AD5" s="118">
        <f t="shared" si="0"/>
        <v>40872</v>
      </c>
      <c r="AE5" s="118">
        <f t="shared" si="0"/>
        <v>40873</v>
      </c>
      <c r="AF5" s="118">
        <f t="shared" si="0"/>
        <v>40874</v>
      </c>
      <c r="AG5" s="118">
        <f t="shared" si="0"/>
        <v>40875</v>
      </c>
      <c r="AH5" s="118">
        <f>AG5+1</f>
        <v>40876</v>
      </c>
      <c r="AI5" s="118">
        <f t="shared" si="0"/>
        <v>40877</v>
      </c>
      <c r="AJ5" s="118">
        <f t="shared" si="0"/>
        <v>40878</v>
      </c>
      <c r="AK5" s="259" t="s">
        <v>15</v>
      </c>
      <c r="AL5" s="260"/>
      <c r="AM5" s="261"/>
      <c r="AN5" s="265" t="s">
        <v>45</v>
      </c>
      <c r="AO5" s="265" t="s">
        <v>41</v>
      </c>
      <c r="AP5" s="265" t="s">
        <v>42</v>
      </c>
      <c r="AQ5" s="265" t="s">
        <v>43</v>
      </c>
      <c r="AR5" s="265" t="s">
        <v>44</v>
      </c>
      <c r="AS5" s="264" t="s">
        <v>0</v>
      </c>
      <c r="AT5" s="26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63"/>
      <c r="B6" s="263"/>
      <c r="C6" s="263"/>
      <c r="D6" s="263"/>
      <c r="E6" s="263"/>
      <c r="F6" s="175" t="str">
        <f>CHOOSE(WEEKDAY(F5),"C.Nhật","T.Hai","T.Ba","T.Tư","T.Năm","T.Sáu","T.Bảy")</f>
        <v>T.Ba</v>
      </c>
      <c r="G6" s="175" t="str">
        <f t="shared" ref="G6:AJ6" si="1">CHOOSE(WEEKDAY(G5),"C.Nhật","T.Hai","T.Ba","T.Tư","T.Năm","T.Sáu","T.Bảy")</f>
        <v>T.Tư</v>
      </c>
      <c r="H6" s="175" t="str">
        <f t="shared" si="1"/>
        <v>T.Năm</v>
      </c>
      <c r="I6" s="175" t="str">
        <f t="shared" si="1"/>
        <v>T.Sáu</v>
      </c>
      <c r="J6" s="175" t="str">
        <f t="shared" si="1"/>
        <v>T.Bảy</v>
      </c>
      <c r="K6" s="175" t="str">
        <f t="shared" si="1"/>
        <v>C.Nhật</v>
      </c>
      <c r="L6" s="175" t="str">
        <f t="shared" si="1"/>
        <v>T.Hai</v>
      </c>
      <c r="M6" s="175" t="str">
        <f t="shared" si="1"/>
        <v>T.Ba</v>
      </c>
      <c r="N6" s="175" t="str">
        <f t="shared" si="1"/>
        <v>T.Tư</v>
      </c>
      <c r="O6" s="175" t="str">
        <f t="shared" si="1"/>
        <v>T.Năm</v>
      </c>
      <c r="P6" s="175" t="str">
        <f t="shared" si="1"/>
        <v>T.Sáu</v>
      </c>
      <c r="Q6" s="175" t="str">
        <f t="shared" si="1"/>
        <v>T.Bảy</v>
      </c>
      <c r="R6" s="175" t="str">
        <f t="shared" si="1"/>
        <v>C.Nhật</v>
      </c>
      <c r="S6" s="175" t="str">
        <f t="shared" si="1"/>
        <v>T.Hai</v>
      </c>
      <c r="T6" s="175" t="str">
        <f t="shared" si="1"/>
        <v>T.Ba</v>
      </c>
      <c r="U6" s="175" t="str">
        <f t="shared" si="1"/>
        <v>T.Tư</v>
      </c>
      <c r="V6" s="175" t="str">
        <f t="shared" si="1"/>
        <v>T.Năm</v>
      </c>
      <c r="W6" s="175" t="str">
        <f t="shared" si="1"/>
        <v>T.Sáu</v>
      </c>
      <c r="X6" s="175" t="str">
        <f t="shared" si="1"/>
        <v>T.Bảy</v>
      </c>
      <c r="Y6" s="175" t="str">
        <f t="shared" si="1"/>
        <v>C.Nhật</v>
      </c>
      <c r="Z6" s="175" t="str">
        <f t="shared" si="1"/>
        <v>T.Hai</v>
      </c>
      <c r="AA6" s="175" t="str">
        <f t="shared" si="1"/>
        <v>T.Ba</v>
      </c>
      <c r="AB6" s="175" t="str">
        <f t="shared" si="1"/>
        <v>T.Tư</v>
      </c>
      <c r="AC6" s="175" t="str">
        <f t="shared" si="1"/>
        <v>T.Năm</v>
      </c>
      <c r="AD6" s="175" t="str">
        <f t="shared" si="1"/>
        <v>T.Sáu</v>
      </c>
      <c r="AE6" s="175" t="str">
        <f t="shared" si="1"/>
        <v>T.Bảy</v>
      </c>
      <c r="AF6" s="175" t="str">
        <f t="shared" si="1"/>
        <v>C.Nhật</v>
      </c>
      <c r="AG6" s="175" t="str">
        <f t="shared" si="1"/>
        <v>T.Hai</v>
      </c>
      <c r="AH6" s="175" t="str">
        <f t="shared" si="1"/>
        <v>T.Ba</v>
      </c>
      <c r="AI6" s="175" t="str">
        <f t="shared" si="1"/>
        <v>T.Tư</v>
      </c>
      <c r="AJ6" s="175" t="str">
        <f t="shared" si="1"/>
        <v>T.Năm</v>
      </c>
      <c r="AK6" s="176" t="s">
        <v>16</v>
      </c>
      <c r="AL6" s="176" t="s">
        <v>31</v>
      </c>
      <c r="AM6" s="177" t="s">
        <v>17</v>
      </c>
      <c r="AN6" s="266"/>
      <c r="AO6" s="266"/>
      <c r="AP6" s="266"/>
      <c r="AQ6" s="266"/>
      <c r="AR6" s="266"/>
      <c r="AS6" s="263"/>
      <c r="AT6" s="26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1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171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53">
        <v>1</v>
      </c>
      <c r="B9" s="253" t="s">
        <v>160</v>
      </c>
      <c r="C9" s="255" t="str">
        <f>VLOOKUP(B9,DS,2,0)</f>
        <v>Lê Kim Ngọc Thảo</v>
      </c>
      <c r="D9" s="257" t="str">
        <f>VLOOKUP(B9,DS,3,0)</f>
        <v>Văn Phòng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>
        <v>8</v>
      </c>
      <c r="K9" s="143"/>
      <c r="L9" s="143">
        <v>8</v>
      </c>
      <c r="M9" s="143">
        <v>8</v>
      </c>
      <c r="N9" s="143">
        <v>8</v>
      </c>
      <c r="O9" s="143">
        <v>8</v>
      </c>
      <c r="P9" s="143">
        <v>8</v>
      </c>
      <c r="Q9" s="143">
        <v>8</v>
      </c>
      <c r="R9" s="143"/>
      <c r="S9" s="143">
        <v>8</v>
      </c>
      <c r="T9" s="143">
        <v>8</v>
      </c>
      <c r="U9" s="143">
        <v>8</v>
      </c>
      <c r="V9" s="143">
        <v>8</v>
      </c>
      <c r="W9" s="143">
        <v>8</v>
      </c>
      <c r="X9" s="143">
        <v>8</v>
      </c>
      <c r="Y9" s="143"/>
      <c r="Z9" s="143">
        <v>8</v>
      </c>
      <c r="AA9" s="143">
        <v>8</v>
      </c>
      <c r="AB9" s="143">
        <v>8</v>
      </c>
      <c r="AC9" s="143">
        <v>8</v>
      </c>
      <c r="AD9" s="143">
        <v>8</v>
      </c>
      <c r="AE9" s="143">
        <v>8</v>
      </c>
      <c r="AF9" s="143"/>
      <c r="AG9" s="143">
        <v>8</v>
      </c>
      <c r="AH9" s="143">
        <v>8</v>
      </c>
      <c r="AI9" s="143">
        <v>8</v>
      </c>
      <c r="AJ9" s="143"/>
      <c r="AK9" s="247">
        <f>((SUM(F9:AJ9))/8)-(SUMIF($F$6:$AJ$6,"C.Nhật",F9:AJ9)/8)</f>
        <v>26</v>
      </c>
      <c r="AL9" s="247">
        <f>SUM(F10:AJ10)/8*1.5</f>
        <v>0</v>
      </c>
      <c r="AM9" s="249">
        <f>SUMIF($F$6:$AJ$6,"C.Nhật",$F9:$AJ10)/8*2</f>
        <v>0</v>
      </c>
      <c r="AN9" s="240">
        <f>SUM(AK9:AM10)</f>
        <v>26</v>
      </c>
      <c r="AO9" s="251">
        <v>0</v>
      </c>
      <c r="AP9" s="240"/>
      <c r="AQ9" s="240"/>
      <c r="AR9" s="240"/>
      <c r="AS9" s="242"/>
      <c r="AT9" s="21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4"/>
      <c r="B10" s="254"/>
      <c r="C10" s="256"/>
      <c r="D10" s="258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8"/>
      <c r="AL10" s="248"/>
      <c r="AM10" s="250"/>
      <c r="AN10" s="241"/>
      <c r="AO10" s="252"/>
      <c r="AP10" s="241"/>
      <c r="AQ10" s="241"/>
      <c r="AR10" s="241"/>
      <c r="AS10" s="243"/>
      <c r="AT10" s="21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3">
        <v>2</v>
      </c>
      <c r="B11" s="253" t="s">
        <v>161</v>
      </c>
      <c r="C11" s="255" t="str">
        <f>VLOOKUP(B11,DS,2,0)</f>
        <v>Lê Hoàng Diệu</v>
      </c>
      <c r="D11" s="257" t="str">
        <f>VLOOKUP(B11,DS,3,0)</f>
        <v>Kinh Doanh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>
        <v>8</v>
      </c>
      <c r="K11" s="143"/>
      <c r="L11" s="143">
        <v>8</v>
      </c>
      <c r="M11" s="143">
        <v>8</v>
      </c>
      <c r="N11" s="143">
        <v>8</v>
      </c>
      <c r="O11" s="143">
        <v>8</v>
      </c>
      <c r="P11" s="143">
        <v>8</v>
      </c>
      <c r="Q11" s="143">
        <v>8</v>
      </c>
      <c r="R11" s="143"/>
      <c r="S11" s="143">
        <v>8</v>
      </c>
      <c r="T11" s="143">
        <v>8</v>
      </c>
      <c r="U11" s="143">
        <v>8</v>
      </c>
      <c r="V11" s="143">
        <v>8</v>
      </c>
      <c r="W11" s="143">
        <v>8</v>
      </c>
      <c r="X11" s="143">
        <v>8</v>
      </c>
      <c r="Y11" s="143"/>
      <c r="Z11" s="143">
        <v>8</v>
      </c>
      <c r="AA11" s="143">
        <v>8</v>
      </c>
      <c r="AB11" s="143">
        <v>8</v>
      </c>
      <c r="AC11" s="143">
        <v>8</v>
      </c>
      <c r="AD11" s="143">
        <v>8</v>
      </c>
      <c r="AE11" s="143">
        <v>8</v>
      </c>
      <c r="AF11" s="143"/>
      <c r="AG11" s="143">
        <v>8</v>
      </c>
      <c r="AH11" s="143">
        <v>8</v>
      </c>
      <c r="AI11" s="143">
        <v>8</v>
      </c>
      <c r="AJ11" s="143"/>
      <c r="AK11" s="247">
        <f t="shared" ref="AK11" si="2">((SUM(F11:AJ11))/8)-(SUMIF($F$6:$AJ$6,"C.Nhật",F11:AJ11)/8)</f>
        <v>26</v>
      </c>
      <c r="AL11" s="247">
        <f t="shared" ref="AL11" si="3">SUM(F12:AJ12)/8*1.5</f>
        <v>0</v>
      </c>
      <c r="AM11" s="249">
        <f t="shared" ref="AM11:AM13" si="4">SUMIF($F$6:$AJ$6,"C.Nhật",$F11:$AJ12)/8*2</f>
        <v>0</v>
      </c>
      <c r="AN11" s="240">
        <f t="shared" ref="AN11" si="5">SUM(AK11:AM12)</f>
        <v>26</v>
      </c>
      <c r="AO11" s="251">
        <v>0</v>
      </c>
      <c r="AP11" s="240"/>
      <c r="AQ11" s="240"/>
      <c r="AR11" s="240"/>
      <c r="AS11" s="242"/>
      <c r="AT11" s="22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4"/>
      <c r="B12" s="254"/>
      <c r="C12" s="256"/>
      <c r="D12" s="258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8"/>
      <c r="AL12" s="248"/>
      <c r="AM12" s="250"/>
      <c r="AN12" s="241"/>
      <c r="AO12" s="252"/>
      <c r="AP12" s="241"/>
      <c r="AQ12" s="241"/>
      <c r="AR12" s="241"/>
      <c r="AS12" s="243"/>
      <c r="AT12" s="22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3">
        <v>3</v>
      </c>
      <c r="B13" s="253" t="s">
        <v>168</v>
      </c>
      <c r="C13" s="255" t="str">
        <f>VLOOKUP(B13,DS,2,0)</f>
        <v>Trần Hòa Toản</v>
      </c>
      <c r="D13" s="257" t="str">
        <f>VLOOKUP(B13,DS,3,0)</f>
        <v>Tài xế</v>
      </c>
      <c r="E13" s="68" t="s">
        <v>32</v>
      </c>
      <c r="F13" s="143">
        <v>8</v>
      </c>
      <c r="G13" s="143">
        <v>8</v>
      </c>
      <c r="H13" s="143">
        <v>8</v>
      </c>
      <c r="I13" s="143">
        <v>8</v>
      </c>
      <c r="J13" s="143">
        <v>8</v>
      </c>
      <c r="K13" s="143"/>
      <c r="L13" s="143">
        <v>8</v>
      </c>
      <c r="M13" s="143">
        <v>8</v>
      </c>
      <c r="N13" s="143">
        <v>8</v>
      </c>
      <c r="O13" s="143">
        <v>8</v>
      </c>
      <c r="P13" s="143">
        <v>8</v>
      </c>
      <c r="Q13" s="143">
        <v>8</v>
      </c>
      <c r="R13" s="143"/>
      <c r="S13" s="143">
        <v>8</v>
      </c>
      <c r="T13" s="143">
        <v>8</v>
      </c>
      <c r="U13" s="143">
        <v>8</v>
      </c>
      <c r="V13" s="143">
        <v>8</v>
      </c>
      <c r="W13" s="143">
        <v>8</v>
      </c>
      <c r="X13" s="143">
        <v>8</v>
      </c>
      <c r="Y13" s="143"/>
      <c r="Z13" s="143">
        <v>8</v>
      </c>
      <c r="AA13" s="143">
        <v>8</v>
      </c>
      <c r="AB13" s="143">
        <v>8</v>
      </c>
      <c r="AC13" s="143">
        <v>8</v>
      </c>
      <c r="AD13" s="143">
        <v>8</v>
      </c>
      <c r="AE13" s="143">
        <v>8</v>
      </c>
      <c r="AF13" s="143"/>
      <c r="AG13" s="143">
        <v>8</v>
      </c>
      <c r="AH13" s="143">
        <v>8</v>
      </c>
      <c r="AI13" s="143">
        <v>8</v>
      </c>
      <c r="AJ13" s="143"/>
      <c r="AK13" s="247">
        <f t="shared" ref="AK13" si="6">((SUM(F13:AJ13))/8)-(SUMIF($F$6:$AJ$6,"C.Nhật",F13:AJ13)/8)</f>
        <v>26</v>
      </c>
      <c r="AL13" s="247">
        <f t="shared" ref="AL13" si="7">SUM(F14:AJ14)/8*1.5</f>
        <v>0</v>
      </c>
      <c r="AM13" s="249">
        <f t="shared" si="4"/>
        <v>0</v>
      </c>
      <c r="AN13" s="240">
        <f t="shared" ref="AN13" si="8">SUM(AK13:AM14)</f>
        <v>26</v>
      </c>
      <c r="AO13" s="251">
        <v>0</v>
      </c>
      <c r="AP13" s="240"/>
      <c r="AQ13" s="240"/>
      <c r="AR13" s="240"/>
      <c r="AS13" s="242"/>
      <c r="AT13" s="220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4"/>
      <c r="B14" s="254"/>
      <c r="C14" s="256"/>
      <c r="D14" s="258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48"/>
      <c r="AL14" s="248"/>
      <c r="AM14" s="250"/>
      <c r="AN14" s="241"/>
      <c r="AO14" s="252"/>
      <c r="AP14" s="241"/>
      <c r="AQ14" s="241"/>
      <c r="AR14" s="241"/>
      <c r="AS14" s="243"/>
      <c r="AT14" s="220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159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53">
        <v>1</v>
      </c>
      <c r="B16" s="253" t="s">
        <v>162</v>
      </c>
      <c r="C16" s="255" t="str">
        <f>VLOOKUP(B16,DS,2,0)</f>
        <v>Bùi Trường Giang</v>
      </c>
      <c r="D16" s="257" t="str">
        <f>VLOOKUP(B16,DS,3,0)</f>
        <v>Thợ in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>
        <v>8</v>
      </c>
      <c r="K16" s="143"/>
      <c r="L16" s="143">
        <v>8</v>
      </c>
      <c r="M16" s="143">
        <v>8</v>
      </c>
      <c r="N16" s="143">
        <v>8</v>
      </c>
      <c r="O16" s="143">
        <v>8</v>
      </c>
      <c r="P16" s="143">
        <v>8</v>
      </c>
      <c r="Q16" s="143">
        <v>8</v>
      </c>
      <c r="R16" s="143"/>
      <c r="S16" s="143">
        <v>8</v>
      </c>
      <c r="T16" s="143">
        <v>8</v>
      </c>
      <c r="U16" s="143">
        <v>8</v>
      </c>
      <c r="V16" s="143">
        <v>8</v>
      </c>
      <c r="W16" s="143">
        <v>8</v>
      </c>
      <c r="X16" s="143">
        <v>8</v>
      </c>
      <c r="Y16" s="143"/>
      <c r="Z16" s="143">
        <v>8</v>
      </c>
      <c r="AA16" s="143">
        <v>8</v>
      </c>
      <c r="AB16" s="143">
        <v>8</v>
      </c>
      <c r="AC16" s="143">
        <v>8</v>
      </c>
      <c r="AD16" s="143">
        <v>8</v>
      </c>
      <c r="AE16" s="143">
        <v>8</v>
      </c>
      <c r="AF16" s="143"/>
      <c r="AG16" s="143">
        <v>8</v>
      </c>
      <c r="AH16" s="143">
        <v>8</v>
      </c>
      <c r="AI16" s="143">
        <v>8</v>
      </c>
      <c r="AJ16" s="143"/>
      <c r="AK16" s="247">
        <f t="shared" ref="AK16" si="9">((SUM(F16:AJ16))/8)-(SUMIF($F$6:$AJ$6,"C.Nhật",F16:AJ16)/8)</f>
        <v>26</v>
      </c>
      <c r="AL16" s="247">
        <f t="shared" ref="AL16" si="10">SUM(F17:AJ17)/8*1.5</f>
        <v>0</v>
      </c>
      <c r="AM16" s="249">
        <f>SUMIF($F$6:$AJ$6,"C.Nhật",$F16:$AJ17)/8*2</f>
        <v>0</v>
      </c>
      <c r="AN16" s="240">
        <f>SUM(AK16:AM17)</f>
        <v>26</v>
      </c>
      <c r="AO16" s="251">
        <v>0</v>
      </c>
      <c r="AP16" s="240"/>
      <c r="AQ16" s="240"/>
      <c r="AR16" s="240"/>
      <c r="AS16" s="242"/>
      <c r="AT16" s="21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4"/>
      <c r="B17" s="254"/>
      <c r="C17" s="256"/>
      <c r="D17" s="258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8"/>
      <c r="AL17" s="248"/>
      <c r="AM17" s="250"/>
      <c r="AN17" s="241"/>
      <c r="AO17" s="252"/>
      <c r="AP17" s="241"/>
      <c r="AQ17" s="241"/>
      <c r="AR17" s="241"/>
      <c r="AS17" s="243"/>
      <c r="AT17" s="21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3">
        <f>A16+1</f>
        <v>2</v>
      </c>
      <c r="B18" s="253" t="s">
        <v>163</v>
      </c>
      <c r="C18" s="255" t="str">
        <f>VLOOKUP(B18,DS,2,0)</f>
        <v>Huỳnh Thanh Tùng</v>
      </c>
      <c r="D18" s="257" t="str">
        <f>VLOOKUP(B18,DS,3,0)</f>
        <v>Thợ đóng - xả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>
        <v>8</v>
      </c>
      <c r="K18" s="143"/>
      <c r="L18" s="143">
        <v>8</v>
      </c>
      <c r="M18" s="143">
        <v>8</v>
      </c>
      <c r="N18" s="143">
        <v>8</v>
      </c>
      <c r="O18" s="143">
        <v>8</v>
      </c>
      <c r="P18" s="143">
        <v>8</v>
      </c>
      <c r="Q18" s="143">
        <v>8</v>
      </c>
      <c r="R18" s="143"/>
      <c r="S18" s="143">
        <v>8</v>
      </c>
      <c r="T18" s="143">
        <v>8</v>
      </c>
      <c r="U18" s="143">
        <v>8</v>
      </c>
      <c r="V18" s="143">
        <v>8</v>
      </c>
      <c r="W18" s="143">
        <v>8</v>
      </c>
      <c r="X18" s="143">
        <v>8</v>
      </c>
      <c r="Y18" s="143"/>
      <c r="Z18" s="143">
        <v>8</v>
      </c>
      <c r="AA18" s="143">
        <v>8</v>
      </c>
      <c r="AB18" s="143">
        <v>8</v>
      </c>
      <c r="AC18" s="143">
        <v>8</v>
      </c>
      <c r="AD18" s="143">
        <v>8</v>
      </c>
      <c r="AE18" s="143">
        <v>8</v>
      </c>
      <c r="AF18" s="143"/>
      <c r="AG18" s="143">
        <v>8</v>
      </c>
      <c r="AH18" s="143">
        <v>8</v>
      </c>
      <c r="AI18" s="143">
        <v>8</v>
      </c>
      <c r="AJ18" s="143"/>
      <c r="AK18" s="247">
        <f t="shared" ref="AK18" si="11">((SUM(F18:AJ18))/8)-(SUMIF($F$6:$AJ$6,"C.Nhật",F18:AJ18)/8)</f>
        <v>26</v>
      </c>
      <c r="AL18" s="247">
        <f t="shared" ref="AL18" si="12">SUM(F19:AJ19)/8*1.5</f>
        <v>0</v>
      </c>
      <c r="AM18" s="249">
        <f>SUMIF($F$6:$AJ$6,"C.Nhật",$F18:$AJ19)/8*2</f>
        <v>0</v>
      </c>
      <c r="AN18" s="240">
        <f t="shared" ref="AN18" si="13">SUM(AK18:AM19)</f>
        <v>26</v>
      </c>
      <c r="AO18" s="251">
        <v>0</v>
      </c>
      <c r="AP18" s="240"/>
      <c r="AQ18" s="240"/>
      <c r="AR18" s="240"/>
      <c r="AS18" s="242"/>
      <c r="AT18" s="21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4"/>
      <c r="B19" s="254"/>
      <c r="C19" s="256"/>
      <c r="D19" s="258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8"/>
      <c r="AL19" s="248"/>
      <c r="AM19" s="250"/>
      <c r="AN19" s="241"/>
      <c r="AO19" s="252"/>
      <c r="AP19" s="241"/>
      <c r="AQ19" s="241"/>
      <c r="AR19" s="241"/>
      <c r="AS19" s="243"/>
      <c r="AT19" s="21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3">
        <f t="shared" ref="A20" si="14">A18+1</f>
        <v>3</v>
      </c>
      <c r="B20" s="253" t="s">
        <v>164</v>
      </c>
      <c r="C20" s="255" t="str">
        <f>VLOOKUP(B20,DS,2,0)</f>
        <v>Danh Sà Phép</v>
      </c>
      <c r="D20" s="257" t="str">
        <f>VLOOKUP(B20,DS,3,0)</f>
        <v>Công nhân</v>
      </c>
      <c r="E20" s="68" t="s">
        <v>32</v>
      </c>
      <c r="F20" s="143">
        <v>8</v>
      </c>
      <c r="G20" s="143">
        <v>8</v>
      </c>
      <c r="H20" s="143">
        <v>8</v>
      </c>
      <c r="I20" s="143">
        <v>8</v>
      </c>
      <c r="J20" s="143">
        <v>8</v>
      </c>
      <c r="K20" s="143"/>
      <c r="L20" s="143">
        <v>8</v>
      </c>
      <c r="M20" s="143">
        <v>8</v>
      </c>
      <c r="N20" s="143">
        <v>8</v>
      </c>
      <c r="O20" s="143">
        <v>8</v>
      </c>
      <c r="P20" s="143">
        <v>8</v>
      </c>
      <c r="Q20" s="143">
        <v>8</v>
      </c>
      <c r="R20" s="143"/>
      <c r="S20" s="143">
        <v>8</v>
      </c>
      <c r="T20" s="143">
        <v>8</v>
      </c>
      <c r="U20" s="143">
        <v>8</v>
      </c>
      <c r="V20" s="143">
        <v>8</v>
      </c>
      <c r="W20" s="143">
        <v>8</v>
      </c>
      <c r="X20" s="143">
        <v>8</v>
      </c>
      <c r="Y20" s="143"/>
      <c r="Z20" s="143">
        <v>8</v>
      </c>
      <c r="AA20" s="143">
        <v>8</v>
      </c>
      <c r="AB20" s="143">
        <v>8</v>
      </c>
      <c r="AC20" s="143">
        <v>8</v>
      </c>
      <c r="AD20" s="143">
        <v>8</v>
      </c>
      <c r="AE20" s="143">
        <v>8</v>
      </c>
      <c r="AF20" s="143"/>
      <c r="AG20" s="143">
        <v>8</v>
      </c>
      <c r="AH20" s="143">
        <v>8</v>
      </c>
      <c r="AI20" s="143">
        <v>8</v>
      </c>
      <c r="AJ20" s="143"/>
      <c r="AK20" s="247">
        <f t="shared" ref="AK20" si="15">((SUM(F20:AJ20))/8)-(SUMIF($F$6:$AJ$6,"C.Nhật",F20:AJ20)/8)</f>
        <v>26</v>
      </c>
      <c r="AL20" s="247">
        <f t="shared" ref="AL20" si="16">SUM(F21:AJ21)/8*1.5</f>
        <v>0</v>
      </c>
      <c r="AM20" s="249">
        <f>SUMIF($F$6:$AJ$6,"C.Nhật",$F20:$AJ21)/8*2</f>
        <v>0</v>
      </c>
      <c r="AN20" s="240">
        <f t="shared" ref="AN20" si="17">SUM(AK20:AM21)</f>
        <v>26</v>
      </c>
      <c r="AO20" s="251">
        <v>0</v>
      </c>
      <c r="AP20" s="240"/>
      <c r="AQ20" s="240"/>
      <c r="AR20" s="240"/>
      <c r="AS20" s="242"/>
      <c r="AT20" s="21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4"/>
      <c r="B21" s="254"/>
      <c r="C21" s="256"/>
      <c r="D21" s="258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8"/>
      <c r="AL21" s="248"/>
      <c r="AM21" s="250"/>
      <c r="AN21" s="241"/>
      <c r="AO21" s="252"/>
      <c r="AP21" s="241"/>
      <c r="AQ21" s="241"/>
      <c r="AR21" s="241"/>
      <c r="AS21" s="243"/>
      <c r="AT21" s="21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215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215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1:91" s="215" customFormat="1" ht="15" customHeight="1">
      <c r="A33" s="2"/>
      <c r="B33" s="2"/>
      <c r="C33" s="2" t="s">
        <v>49</v>
      </c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5" customFormat="1" ht="15" customHeight="1">
      <c r="A34" s="2"/>
      <c r="B34" s="2"/>
      <c r="C34" s="2" t="s">
        <v>50</v>
      </c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15" customFormat="1" ht="15" customHeight="1">
      <c r="A35" s="2"/>
      <c r="B35" s="2"/>
      <c r="C35" s="2" t="s">
        <v>51</v>
      </c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15" customFormat="1" ht="15" customHeight="1">
      <c r="A36" s="2"/>
      <c r="B36" s="2"/>
      <c r="C36" s="2" t="s">
        <v>52</v>
      </c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215" customFormat="1" ht="15" customHeight="1">
      <c r="A37" s="2"/>
      <c r="B37" s="2"/>
      <c r="C37" s="2" t="s">
        <v>53</v>
      </c>
      <c r="E37" s="2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  <c r="AH37" s="124"/>
      <c r="AI37" s="124"/>
      <c r="AJ37" s="124"/>
      <c r="AK37" s="2"/>
      <c r="AL37" s="2"/>
      <c r="AM37" s="100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215" customFormat="1" ht="15" customHeight="1">
      <c r="A38" s="2"/>
      <c r="B38" s="2"/>
      <c r="C38" s="2" t="s">
        <v>54</v>
      </c>
      <c r="E38" s="2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  <c r="AB38" s="123"/>
      <c r="AC38" s="123"/>
      <c r="AD38" s="123"/>
      <c r="AE38" s="123"/>
      <c r="AF38" s="123"/>
      <c r="AG38" s="123"/>
      <c r="AH38" s="124"/>
      <c r="AI38" s="124"/>
      <c r="AJ38" s="124"/>
      <c r="AK38" s="2"/>
      <c r="AL38" s="2"/>
      <c r="AM38" s="100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A16:A21 C16:E21" name="Range1_6_2"/>
    <protectedRange password="CC78" sqref="B16:B21" name="Range1_4_2"/>
  </protectedRanges>
  <mergeCells count="92">
    <mergeCell ref="AQ11:AQ12"/>
    <mergeCell ref="AR11:AR12"/>
    <mergeCell ref="AS11:AS12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Q13:AQ14"/>
    <mergeCell ref="AR13:AR14"/>
    <mergeCell ref="AS13:AS14"/>
    <mergeCell ref="AL13:AL14"/>
    <mergeCell ref="AM13:AM14"/>
    <mergeCell ref="AN13:AN14"/>
    <mergeCell ref="AO13:AO14"/>
    <mergeCell ref="AP13:AP14"/>
    <mergeCell ref="A13:A14"/>
    <mergeCell ref="B13:B14"/>
    <mergeCell ref="C13:C14"/>
    <mergeCell ref="D13:D14"/>
    <mergeCell ref="AK13:AK14"/>
    <mergeCell ref="A20:A21"/>
    <mergeCell ref="B20:B21"/>
    <mergeCell ref="C20:C21"/>
    <mergeCell ref="D20:D21"/>
    <mergeCell ref="AK20:AK21"/>
    <mergeCell ref="AL20:AL21"/>
    <mergeCell ref="AS18:AS19"/>
    <mergeCell ref="AM18:AM19"/>
    <mergeCell ref="AN18:AN19"/>
    <mergeCell ref="AO18:AO19"/>
    <mergeCell ref="AP18:AP19"/>
    <mergeCell ref="AQ18:AQ19"/>
    <mergeCell ref="AR18:AR19"/>
    <mergeCell ref="AS20:AS21"/>
    <mergeCell ref="AM20:AM21"/>
    <mergeCell ref="AN20:AN21"/>
    <mergeCell ref="AO20:AO21"/>
    <mergeCell ref="AP20:AP21"/>
    <mergeCell ref="AQ20:AQ21"/>
    <mergeCell ref="AR20:AR21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L16:AL17"/>
    <mergeCell ref="AM16:AM17"/>
    <mergeCell ref="AN16:AN17"/>
    <mergeCell ref="AO16:AO17"/>
    <mergeCell ref="A16:A17"/>
    <mergeCell ref="B16:B17"/>
    <mergeCell ref="C16:C17"/>
    <mergeCell ref="D16:D17"/>
    <mergeCell ref="AK16:AK17"/>
    <mergeCell ref="AP16:AP17"/>
    <mergeCell ref="AQ16:AQ17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AJ16:AJ19 F9:AJ10">
    <cfRule type="expression" dxfId="38" priority="31" stopIfTrue="1">
      <formula>IF(WEEKDAY(F$5)=1,TRUE,FALSE)</formula>
    </cfRule>
  </conditionalFormatting>
  <conditionalFormatting sqref="F9:AJ10">
    <cfRule type="expression" dxfId="37" priority="30" stopIfTrue="1">
      <formula>IF(WEEKDAY(F$5)=1,TRUE,FALSE)</formula>
    </cfRule>
  </conditionalFormatting>
  <conditionalFormatting sqref="AJ16:AJ19">
    <cfRule type="expression" dxfId="36" priority="29" stopIfTrue="1">
      <formula>IF(WEEKDAY(AJ$5)=1,TRUE,FALSE)</formula>
    </cfRule>
  </conditionalFormatting>
  <conditionalFormatting sqref="AJ16:AJ19">
    <cfRule type="expression" dxfId="35" priority="28" stopIfTrue="1">
      <formula>IF(WEEKDAY(AJ$5)=1,TRUE,FALSE)</formula>
    </cfRule>
  </conditionalFormatting>
  <conditionalFormatting sqref="AJ16:AJ19">
    <cfRule type="expression" dxfId="34" priority="27" stopIfTrue="1">
      <formula>IF(WEEKDAY(AJ$5)=1,TRUE,FALSE)</formula>
    </cfRule>
  </conditionalFormatting>
  <conditionalFormatting sqref="AJ16:AJ19">
    <cfRule type="expression" dxfId="33" priority="26" stopIfTrue="1">
      <formula>IF(WEEKDAY(AJ$5)=1,TRUE,FALSE)</formula>
    </cfRule>
  </conditionalFormatting>
  <conditionalFormatting sqref="AJ16:AJ19">
    <cfRule type="expression" dxfId="32" priority="25" stopIfTrue="1">
      <formula>IF(WEEKDAY(AJ$5)=1,TRUE,FALSE)</formula>
    </cfRule>
  </conditionalFormatting>
  <conditionalFormatting sqref="AJ16:AJ19">
    <cfRule type="expression" dxfId="31" priority="24" stopIfTrue="1">
      <formula>IF(WEEKDAY(AJ$5)=1,TRUE,FALSE)</formula>
    </cfRule>
  </conditionalFormatting>
  <conditionalFormatting sqref="F16:AI19">
    <cfRule type="expression" dxfId="30" priority="19" stopIfTrue="1">
      <formula>IF(WEEKDAY(F$5)=1,TRUE,FALSE)</formula>
    </cfRule>
  </conditionalFormatting>
  <conditionalFormatting sqref="F16:AI19">
    <cfRule type="expression" dxfId="29" priority="18" stopIfTrue="1">
      <formula>IF(WEEKDAY(F$5)=1,TRUE,FALSE)</formula>
    </cfRule>
  </conditionalFormatting>
  <conditionalFormatting sqref="F20:AI21">
    <cfRule type="expression" dxfId="28" priority="10" stopIfTrue="1">
      <formula>IF(WEEKDAY(F$5)=1,TRUE,FALSE)</formula>
    </cfRule>
  </conditionalFormatting>
  <conditionalFormatting sqref="F20:AI21">
    <cfRule type="expression" dxfId="27" priority="9" stopIfTrue="1">
      <formula>IF(WEEKDAY(F$5)=1,TRUE,FALSE)</formula>
    </cfRule>
  </conditionalFormatting>
  <conditionalFormatting sqref="AJ20:AJ21">
    <cfRule type="expression" dxfId="26" priority="17" stopIfTrue="1">
      <formula>IF(WEEKDAY(AJ$5)=1,TRUE,FALSE)</formula>
    </cfRule>
  </conditionalFormatting>
  <conditionalFormatting sqref="AJ20:AJ21">
    <cfRule type="expression" dxfId="25" priority="16" stopIfTrue="1">
      <formula>IF(WEEKDAY(AJ$5)=1,TRUE,FALSE)</formula>
    </cfRule>
  </conditionalFormatting>
  <conditionalFormatting sqref="AJ20:AJ21">
    <cfRule type="expression" dxfId="24" priority="15" stopIfTrue="1">
      <formula>IF(WEEKDAY(AJ$5)=1,TRUE,FALSE)</formula>
    </cfRule>
  </conditionalFormatting>
  <conditionalFormatting sqref="AJ20:AJ21">
    <cfRule type="expression" dxfId="23" priority="14" stopIfTrue="1">
      <formula>IF(WEEKDAY(AJ$5)=1,TRUE,FALSE)</formula>
    </cfRule>
  </conditionalFormatting>
  <conditionalFormatting sqref="AJ20:AJ21">
    <cfRule type="expression" dxfId="22" priority="13" stopIfTrue="1">
      <formula>IF(WEEKDAY(AJ$5)=1,TRUE,FALSE)</formula>
    </cfRule>
  </conditionalFormatting>
  <conditionalFormatting sqref="AJ20:AJ21">
    <cfRule type="expression" dxfId="21" priority="12" stopIfTrue="1">
      <formula>IF(WEEKDAY(AJ$5)=1,TRUE,FALSE)</formula>
    </cfRule>
  </conditionalFormatting>
  <conditionalFormatting sqref="AJ20:AJ21">
    <cfRule type="expression" dxfId="20" priority="11" stopIfTrue="1">
      <formula>IF(WEEKDAY(AJ$5)=1,TRUE,FALSE)</formula>
    </cfRule>
  </conditionalFormatting>
  <conditionalFormatting sqref="F13:AI14">
    <cfRule type="expression" dxfId="19" priority="8" stopIfTrue="1">
      <formula>IF(WEEKDAY(F$5)=1,TRUE,FALSE)</formula>
    </cfRule>
  </conditionalFormatting>
  <conditionalFormatting sqref="F13:AI14">
    <cfRule type="expression" dxfId="18" priority="7" stopIfTrue="1">
      <formula>IF(WEEKDAY(F$5)=1,TRUE,FALSE)</formula>
    </cfRule>
  </conditionalFormatting>
  <conditionalFormatting sqref="AJ13:AJ14">
    <cfRule type="expression" dxfId="17" priority="6" stopIfTrue="1">
      <formula>IF(WEEKDAY(AJ$5)=1,TRUE,FALSE)</formula>
    </cfRule>
  </conditionalFormatting>
  <conditionalFormatting sqref="AJ13:AJ14">
    <cfRule type="expression" dxfId="16" priority="5" stopIfTrue="1">
      <formula>IF(WEEKDAY(AJ$5)=1,TRUE,FALSE)</formula>
    </cfRule>
  </conditionalFormatting>
  <conditionalFormatting sqref="F11:AI12">
    <cfRule type="expression" dxfId="15" priority="4" stopIfTrue="1">
      <formula>IF(WEEKDAY(F$5)=1,TRUE,FALSE)</formula>
    </cfRule>
  </conditionalFormatting>
  <conditionalFormatting sqref="F11:AI12">
    <cfRule type="expression" dxfId="14" priority="3" stopIfTrue="1">
      <formula>IF(WEEKDAY(F$5)=1,TRUE,FALSE)</formula>
    </cfRule>
  </conditionalFormatting>
  <conditionalFormatting sqref="AJ11:AJ12">
    <cfRule type="expression" dxfId="13" priority="2" stopIfTrue="1">
      <formula>IF(WEEKDAY(AJ$5)=1,TRUE,FALSE)</formula>
    </cfRule>
  </conditionalFormatting>
  <conditionalFormatting sqref="AJ11:AJ12">
    <cfRule type="expression" dxfId="12" priority="1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S20" activeCellId="1" sqref="S14 S20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18"/>
      <c r="C1" s="218"/>
      <c r="D1" s="277" t="str">
        <f>"BẢNG THANH TOÁN LƯƠNG THÁNG"&amp;" "&amp;TEXT($E$4,"mm")&amp;" / "&amp;TEXT($E$4,"yyyy")</f>
        <v>BẢNG THANH TOÁN LƯƠNG THÁNG 11 / 2011</v>
      </c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8"/>
      <c r="R1" s="271" t="s">
        <v>170</v>
      </c>
      <c r="S1" s="272"/>
      <c r="T1" s="273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18"/>
      <c r="C2" s="218"/>
      <c r="D2" s="218"/>
      <c r="E2" s="81"/>
      <c r="F2" s="218"/>
      <c r="G2" s="218"/>
      <c r="H2" s="218"/>
      <c r="I2" s="218"/>
      <c r="J2" s="82"/>
      <c r="K2" s="218"/>
      <c r="L2" s="218"/>
      <c r="M2" s="218"/>
      <c r="N2" s="218"/>
      <c r="O2" s="218"/>
      <c r="P2" s="218"/>
      <c r="Q2" s="218"/>
      <c r="R2" s="218"/>
      <c r="S2" s="218"/>
      <c r="T2" s="59"/>
      <c r="U2" s="80"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18"/>
      <c r="C3" s="218"/>
      <c r="D3" s="218"/>
      <c r="E3" s="81"/>
      <c r="F3" s="218"/>
      <c r="G3" s="218"/>
      <c r="H3" s="218"/>
      <c r="I3" s="218"/>
      <c r="J3" s="82"/>
      <c r="K3" s="218"/>
      <c r="L3" s="218"/>
      <c r="M3" s="218"/>
      <c r="N3" s="218"/>
      <c r="O3" s="218"/>
      <c r="P3" s="218"/>
      <c r="Q3" s="218"/>
      <c r="R3" s="218"/>
      <c r="S3" s="218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-11'!$E$4</f>
        <v>40848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9" t="s">
        <v>19</v>
      </c>
      <c r="B5" s="279" t="s">
        <v>20</v>
      </c>
      <c r="C5" s="233" t="s">
        <v>1</v>
      </c>
      <c r="D5" s="233" t="s">
        <v>2</v>
      </c>
      <c r="E5" s="228" t="s">
        <v>56</v>
      </c>
      <c r="F5" s="281" t="s">
        <v>26</v>
      </c>
      <c r="G5" s="283"/>
      <c r="H5" s="283"/>
      <c r="I5" s="283"/>
      <c r="J5" s="283"/>
      <c r="K5" s="282"/>
      <c r="L5" s="268" t="s">
        <v>57</v>
      </c>
      <c r="M5" s="268" t="s">
        <v>5</v>
      </c>
      <c r="N5" s="233" t="s">
        <v>6</v>
      </c>
      <c r="O5" s="233"/>
      <c r="P5" s="233"/>
      <c r="Q5" s="268" t="s">
        <v>7</v>
      </c>
      <c r="R5" s="268" t="s">
        <v>8</v>
      </c>
      <c r="S5" s="268" t="s">
        <v>9</v>
      </c>
      <c r="T5" s="22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80"/>
      <c r="B6" s="280"/>
      <c r="C6" s="233"/>
      <c r="D6" s="233"/>
      <c r="E6" s="228"/>
      <c r="F6" s="281" t="s">
        <v>59</v>
      </c>
      <c r="G6" s="282"/>
      <c r="H6" s="281" t="s">
        <v>158</v>
      </c>
      <c r="I6" s="283"/>
      <c r="J6" s="284" t="s">
        <v>27</v>
      </c>
      <c r="K6" s="268" t="s">
        <v>4</v>
      </c>
      <c r="L6" s="269"/>
      <c r="M6" s="269"/>
      <c r="N6" s="274" t="s">
        <v>12</v>
      </c>
      <c r="O6" s="268" t="s">
        <v>13</v>
      </c>
      <c r="P6" s="268" t="s">
        <v>34</v>
      </c>
      <c r="Q6" s="269"/>
      <c r="R6" s="269"/>
      <c r="S6" s="269"/>
      <c r="T6" s="23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80"/>
      <c r="B7" s="280"/>
      <c r="C7" s="268"/>
      <c r="D7" s="268"/>
      <c r="E7" s="228"/>
      <c r="F7" s="219" t="s">
        <v>40</v>
      </c>
      <c r="G7" s="216" t="s">
        <v>18</v>
      </c>
      <c r="H7" s="219" t="s">
        <v>40</v>
      </c>
      <c r="I7" s="128" t="s">
        <v>18</v>
      </c>
      <c r="J7" s="285"/>
      <c r="K7" s="269"/>
      <c r="L7" s="270"/>
      <c r="M7" s="270"/>
      <c r="N7" s="275"/>
      <c r="O7" s="269"/>
      <c r="P7" s="269"/>
      <c r="Q7" s="269"/>
      <c r="R7" s="269"/>
      <c r="S7" s="269"/>
      <c r="T7" s="23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171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160</v>
      </c>
      <c r="C10" s="89" t="str">
        <f t="shared" ref="C10" si="0">VLOOKUP(B10,DS,2,0)</f>
        <v>Lê Kim Ngọc Thảo</v>
      </c>
      <c r="D10" s="116" t="str">
        <f t="shared" ref="D10" si="1">VLOOKUP(B10,DS,3,0)</f>
        <v>Văn Phòng</v>
      </c>
      <c r="E10" s="90">
        <f t="shared" ref="E10" si="2">VLOOKUP(B10,DS,4,0)</f>
        <v>2500000</v>
      </c>
      <c r="F10" s="92">
        <f>VLOOKUP(B10,'CC -11'!$B$8:$AS$21,36,0)</f>
        <v>26</v>
      </c>
      <c r="G10" s="145">
        <f t="shared" ref="G10" si="3">ROUND(E10/$U$2*F10,0)</f>
        <v>2500000</v>
      </c>
      <c r="H10" s="92">
        <f>(VLOOKUP(B10,'CC -11'!$B$8:$AS$21,37,0)+VLOOKUP(B10,'CC -11'!$B$8:$AS$21,38,0))</f>
        <v>0</v>
      </c>
      <c r="I10" s="145">
        <f t="shared" ref="I10" si="4">ROUND(E10/$U$2*H10,0)</f>
        <v>0</v>
      </c>
      <c r="J10" s="93">
        <f t="shared" ref="J10" si="5">F10+H10</f>
        <v>26</v>
      </c>
      <c r="K10" s="39">
        <f>G10+I10</f>
        <v>2500000</v>
      </c>
      <c r="L10" s="90">
        <f t="shared" ref="L10:L12" si="6">+F10*15000</f>
        <v>390000</v>
      </c>
      <c r="M10" s="40">
        <f t="shared" ref="M10" si="7">K10+L10</f>
        <v>2890000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" si="8">M10-SUM(N10:P10)</f>
        <v>2890000</v>
      </c>
      <c r="R10" s="39">
        <f>VLOOKUP(B10,DS,23,0)</f>
        <v>0</v>
      </c>
      <c r="S10" s="45">
        <f t="shared" ref="S10" si="9">Q10-R10</f>
        <v>2890000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161</v>
      </c>
      <c r="C11" s="89" t="str">
        <f t="shared" ref="C11:C12" si="10">VLOOKUP(B11,DS,2,0)</f>
        <v>Lê Hoàng Diệu</v>
      </c>
      <c r="D11" s="116" t="str">
        <f t="shared" ref="D11:D12" si="11">VLOOKUP(B11,DS,3,0)</f>
        <v>Kinh Doanh</v>
      </c>
      <c r="E11" s="90">
        <f t="shared" ref="E11:E12" si="12">VLOOKUP(B11,DS,4,0)</f>
        <v>2400000</v>
      </c>
      <c r="F11" s="92">
        <f>VLOOKUP(B11,'CC -11'!$B$8:$AS$21,36,0)</f>
        <v>26</v>
      </c>
      <c r="G11" s="145">
        <f t="shared" ref="G11:G12" si="13">ROUND(E11/$U$2*F11,0)</f>
        <v>2400000</v>
      </c>
      <c r="H11" s="92">
        <f>(VLOOKUP(B11,'CC -11'!$B$8:$AS$21,37,0)+VLOOKUP(B11,'CC -11'!$B$8:$AS$21,38,0))</f>
        <v>0</v>
      </c>
      <c r="I11" s="145">
        <f t="shared" ref="I11:I12" si="14">ROUND(E11/$U$2*H11,0)</f>
        <v>0</v>
      </c>
      <c r="J11" s="93">
        <f t="shared" ref="J11:J12" si="15">F11+H11</f>
        <v>26</v>
      </c>
      <c r="K11" s="39">
        <f t="shared" ref="K11:K12" si="16">G11+I11</f>
        <v>2400000</v>
      </c>
      <c r="L11" s="90">
        <f t="shared" si="6"/>
        <v>390000</v>
      </c>
      <c r="M11" s="40">
        <f t="shared" ref="M11:M12" si="17">K11+L11</f>
        <v>2790000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ref="Q11:Q12" si="18">M11-SUM(N11:P11)</f>
        <v>2790000</v>
      </c>
      <c r="R11" s="39">
        <f>VLOOKUP(B11,DS,23,0)</f>
        <v>0</v>
      </c>
      <c r="S11" s="45">
        <f t="shared" ref="S11:S12" si="19">Q11-R11</f>
        <v>2790000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168</v>
      </c>
      <c r="C12" s="89" t="str">
        <f t="shared" si="10"/>
        <v>Trần Hòa Toản</v>
      </c>
      <c r="D12" s="116" t="str">
        <f t="shared" si="11"/>
        <v>Tài xế</v>
      </c>
      <c r="E12" s="90">
        <f t="shared" si="12"/>
        <v>2350000</v>
      </c>
      <c r="F12" s="92">
        <f>VLOOKUP(B12,'CC -11'!$B$8:$AS$21,36,0)</f>
        <v>26</v>
      </c>
      <c r="G12" s="145">
        <f t="shared" si="13"/>
        <v>2350000</v>
      </c>
      <c r="H12" s="92">
        <f>(VLOOKUP(B12,'CC -11'!$B$8:$AS$21,37,0)+VLOOKUP(B12,'CC -11'!$B$8:$AS$21,38,0))</f>
        <v>0</v>
      </c>
      <c r="I12" s="145">
        <f t="shared" si="14"/>
        <v>0</v>
      </c>
      <c r="J12" s="93">
        <f t="shared" si="15"/>
        <v>26</v>
      </c>
      <c r="K12" s="39">
        <f t="shared" si="16"/>
        <v>2350000</v>
      </c>
      <c r="L12" s="90">
        <f t="shared" si="6"/>
        <v>390000</v>
      </c>
      <c r="M12" s="40">
        <f t="shared" si="17"/>
        <v>2740000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18"/>
        <v>2740000</v>
      </c>
      <c r="R12" s="39">
        <f>VLOOKUP(B12,DS,23,0)</f>
        <v>0</v>
      </c>
      <c r="S12" s="45">
        <f t="shared" si="19"/>
        <v>2740000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76" t="s">
        <v>25</v>
      </c>
      <c r="B14" s="276"/>
      <c r="C14" s="276"/>
      <c r="D14" s="276"/>
      <c r="E14" s="140">
        <f>SUM(E9:E13)</f>
        <v>7250000</v>
      </c>
      <c r="F14" s="140"/>
      <c r="G14" s="140">
        <f>SUM(G9:G13)</f>
        <v>7250000</v>
      </c>
      <c r="H14" s="140"/>
      <c r="I14" s="140">
        <f>SUM(I9:I13)</f>
        <v>0</v>
      </c>
      <c r="J14" s="140"/>
      <c r="K14" s="140">
        <f t="shared" ref="K14:S14" si="20">SUM(K9:K13)</f>
        <v>7250000</v>
      </c>
      <c r="L14" s="140">
        <f t="shared" si="20"/>
        <v>1170000</v>
      </c>
      <c r="M14" s="140">
        <f t="shared" si="20"/>
        <v>8420000</v>
      </c>
      <c r="N14" s="140">
        <f t="shared" si="20"/>
        <v>0</v>
      </c>
      <c r="O14" s="140">
        <f t="shared" si="20"/>
        <v>0</v>
      </c>
      <c r="P14" s="140">
        <f t="shared" si="20"/>
        <v>0</v>
      </c>
      <c r="Q14" s="140">
        <f t="shared" si="20"/>
        <v>8420000</v>
      </c>
      <c r="R14" s="140">
        <f t="shared" si="20"/>
        <v>0</v>
      </c>
      <c r="S14" s="140">
        <f t="shared" si="20"/>
        <v>8420000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162</v>
      </c>
      <c r="C16" s="89" t="str">
        <f t="shared" ref="C16:C18" si="21">VLOOKUP(B16,DS,2,0)</f>
        <v>Bùi Trường Giang</v>
      </c>
      <c r="D16" s="116" t="str">
        <f t="shared" ref="D16:D18" si="22">VLOOKUP(B16,DS,3,0)</f>
        <v>Thợ in</v>
      </c>
      <c r="E16" s="90">
        <f t="shared" ref="E16:E18" si="23">VLOOKUP(B16,DS,4,0)</f>
        <v>1800000</v>
      </c>
      <c r="F16" s="92">
        <f>VLOOKUP(B16,'CC -11'!$B$8:$AS$21,36,0)</f>
        <v>26</v>
      </c>
      <c r="G16" s="145">
        <f t="shared" ref="G16:G18" si="24">ROUND(E16/$U$2*F16,0)</f>
        <v>1800000</v>
      </c>
      <c r="H16" s="92">
        <f>(VLOOKUP(B16,'CC -11'!$B$8:$AS$21,37,0)+VLOOKUP(B16,'CC -11'!$B$8:$AS$21,38,0))</f>
        <v>0</v>
      </c>
      <c r="I16" s="145">
        <f t="shared" ref="I16:I18" si="25">ROUND(E16/$U$2*H16,0)</f>
        <v>0</v>
      </c>
      <c r="J16" s="146">
        <f t="shared" ref="J16:K18" si="26">F16+H16</f>
        <v>26</v>
      </c>
      <c r="K16" s="39">
        <f t="shared" si="26"/>
        <v>1800000</v>
      </c>
      <c r="L16" s="90">
        <v>390000</v>
      </c>
      <c r="M16" s="40">
        <f t="shared" ref="M16:M18" si="27">K16+L16</f>
        <v>2190000</v>
      </c>
      <c r="N16" s="40">
        <f>IF(VLOOKUP(B16,DS,9,0)="x",'L - 11'!E16*$N$4,0)</f>
        <v>0</v>
      </c>
      <c r="O16" s="40">
        <f t="shared" ref="O16:O18" si="28">IF(VLOOKUP(B16,DS,9,0)="x",E16*0.015,0)</f>
        <v>0</v>
      </c>
      <c r="P16" s="40">
        <f t="shared" ref="P16:P18" si="29">IF(VLOOKUP(B16,DS,9,0)="x",E16*0.01,0)</f>
        <v>0</v>
      </c>
      <c r="Q16" s="39">
        <f>M16-SUM(N16:P16)</f>
        <v>2190000</v>
      </c>
      <c r="R16" s="39">
        <f t="shared" ref="R16:R18" si="30">VLOOKUP(B16,DS,23,0)</f>
        <v>0</v>
      </c>
      <c r="S16" s="45">
        <f>Q16-R16</f>
        <v>2190000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163</v>
      </c>
      <c r="C17" s="89" t="str">
        <f t="shared" si="21"/>
        <v>Huỳnh Thanh Tùng</v>
      </c>
      <c r="D17" s="116" t="str">
        <f t="shared" si="22"/>
        <v>Thợ đóng - xả</v>
      </c>
      <c r="E17" s="90">
        <f t="shared" si="23"/>
        <v>1800000</v>
      </c>
      <c r="F17" s="92">
        <f>VLOOKUP(B17,'CC -11'!$B$8:$AS$21,36,0)</f>
        <v>26</v>
      </c>
      <c r="G17" s="145">
        <f t="shared" si="24"/>
        <v>1800000</v>
      </c>
      <c r="H17" s="92">
        <f>(VLOOKUP(B17,'CC -11'!$B$8:$AS$21,37,0)+VLOOKUP(B17,'CC -11'!$B$8:$AS$21,38,0))</f>
        <v>0</v>
      </c>
      <c r="I17" s="145">
        <f t="shared" si="25"/>
        <v>0</v>
      </c>
      <c r="J17" s="146">
        <f t="shared" si="26"/>
        <v>26</v>
      </c>
      <c r="K17" s="39">
        <f t="shared" si="26"/>
        <v>1800000</v>
      </c>
      <c r="L17" s="90">
        <v>390000</v>
      </c>
      <c r="M17" s="40">
        <f t="shared" si="27"/>
        <v>2190000</v>
      </c>
      <c r="N17" s="40">
        <f>IF(VLOOKUP(B17,DS,9,0)="x",'L - 11'!E17*$N$4,0)</f>
        <v>0</v>
      </c>
      <c r="O17" s="40">
        <f t="shared" si="28"/>
        <v>0</v>
      </c>
      <c r="P17" s="40">
        <f t="shared" si="29"/>
        <v>0</v>
      </c>
      <c r="Q17" s="39">
        <f t="shared" ref="Q17:Q18" si="31">M17-SUM(N17:P17)</f>
        <v>2190000</v>
      </c>
      <c r="R17" s="39">
        <f t="shared" si="30"/>
        <v>0</v>
      </c>
      <c r="S17" s="45">
        <f t="shared" ref="S17:S18" si="32">Q17-R17</f>
        <v>2190000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164</v>
      </c>
      <c r="C18" s="89" t="str">
        <f t="shared" si="21"/>
        <v>Danh Sà Phép</v>
      </c>
      <c r="D18" s="116" t="str">
        <f t="shared" si="22"/>
        <v>Công nhân</v>
      </c>
      <c r="E18" s="90">
        <f t="shared" si="23"/>
        <v>1500000</v>
      </c>
      <c r="F18" s="92">
        <f>VLOOKUP(B18,'CC -11'!$B$8:$AS$21,36,0)</f>
        <v>26</v>
      </c>
      <c r="G18" s="145">
        <f t="shared" si="24"/>
        <v>1500000</v>
      </c>
      <c r="H18" s="92">
        <f>(VLOOKUP(B18,'CC -11'!$B$8:$AS$21,37,0)+VLOOKUP(B18,'CC -11'!$B$8:$AS$21,38,0))</f>
        <v>0</v>
      </c>
      <c r="I18" s="145">
        <f t="shared" si="25"/>
        <v>0</v>
      </c>
      <c r="J18" s="146">
        <f t="shared" si="26"/>
        <v>26</v>
      </c>
      <c r="K18" s="39">
        <f t="shared" si="26"/>
        <v>1500000</v>
      </c>
      <c r="L18" s="90">
        <v>390000</v>
      </c>
      <c r="M18" s="40">
        <f t="shared" si="27"/>
        <v>1890000</v>
      </c>
      <c r="N18" s="40">
        <f>IF(VLOOKUP(B18,DS,9,0)="x",'L - 11'!E18*$N$4,0)</f>
        <v>0</v>
      </c>
      <c r="O18" s="40">
        <f t="shared" si="28"/>
        <v>0</v>
      </c>
      <c r="P18" s="40">
        <f t="shared" si="29"/>
        <v>0</v>
      </c>
      <c r="Q18" s="39">
        <f t="shared" si="31"/>
        <v>1890000</v>
      </c>
      <c r="R18" s="39">
        <f t="shared" si="30"/>
        <v>0</v>
      </c>
      <c r="S18" s="45">
        <f t="shared" si="32"/>
        <v>1890000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76" t="s">
        <v>25</v>
      </c>
      <c r="B20" s="276"/>
      <c r="C20" s="276"/>
      <c r="D20" s="276"/>
      <c r="E20" s="140">
        <f>SUM(E15:E19)</f>
        <v>5100000</v>
      </c>
      <c r="F20" s="140"/>
      <c r="G20" s="140">
        <f>SUM(G15:G19)</f>
        <v>5100000</v>
      </c>
      <c r="H20" s="140"/>
      <c r="I20" s="140">
        <f>SUM(I15:I19)</f>
        <v>0</v>
      </c>
      <c r="J20" s="140"/>
      <c r="K20" s="140">
        <f t="shared" ref="K20:S20" si="33">SUM(K15:K19)</f>
        <v>5100000</v>
      </c>
      <c r="L20" s="140">
        <f t="shared" si="33"/>
        <v>1170000</v>
      </c>
      <c r="M20" s="140">
        <f t="shared" si="33"/>
        <v>6270000</v>
      </c>
      <c r="N20" s="140">
        <f t="shared" si="33"/>
        <v>0</v>
      </c>
      <c r="O20" s="140">
        <f t="shared" si="33"/>
        <v>0</v>
      </c>
      <c r="P20" s="140">
        <f t="shared" si="33"/>
        <v>0</v>
      </c>
      <c r="Q20" s="140">
        <f t="shared" si="33"/>
        <v>6270000</v>
      </c>
      <c r="R20" s="140">
        <f t="shared" si="33"/>
        <v>0</v>
      </c>
      <c r="S20" s="140">
        <f t="shared" si="33"/>
        <v>6270000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11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E5:I6 D20 N5:P6 L5 L23 J6:K7 L7 A26:T59 U32:U59 N19:S19 V26:IK59 J19:L19 A60:IK65327 AF15:IK15 V14:IK14 D14 AF5:IK13 W10:W13 Q10:S13 A10:B14" name="Range1"/>
    <protectedRange password="CC78" sqref="F7:H7" name="Range1_4"/>
    <protectedRange password="CC78" sqref="V23:IK24 S23:T24 N23:Q24 E23:I24" name="Range1_1_1"/>
    <protectedRange password="CC78" sqref="U1 W1:IK3 V4:IK4 B4:T4 R2:S3 B1:Q3 U19:U31 X15:AE15 X5:AE13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W16:W18 Q16:S18 A16:B18 AF16:IK18" name="Range1_5"/>
    <protectedRange password="CC78" sqref="U16:U18 X16:AE18" name="Range1_2_3"/>
    <protectedRange password="CC78" sqref="V16:V18" name="Range1_1_3"/>
    <protectedRange password="CC78" sqref="K16:K18 K10:K13" name="Range1_6"/>
    <protectedRange password="CC78" sqref="A2:A3" name="Range1_2_1_3"/>
    <protectedRange password="CC78" sqref="E14:T14" name="Range1_3"/>
    <protectedRange password="CC78" sqref="E20:T20" name="Range1_7"/>
  </protectedRanges>
  <autoFilter ref="A7:AE10"/>
  <mergeCells count="24">
    <mergeCell ref="A14:D14"/>
    <mergeCell ref="A20:D20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G13" sqref="AG1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12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44" t="s">
        <v>170</v>
      </c>
      <c r="AN1" s="245"/>
      <c r="AO1" s="245"/>
      <c r="AP1" s="245"/>
      <c r="AQ1" s="245"/>
      <c r="AR1" s="245"/>
      <c r="AS1" s="246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40878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2" t="s">
        <v>28</v>
      </c>
      <c r="B5" s="262" t="s">
        <v>3</v>
      </c>
      <c r="C5" s="262" t="s">
        <v>1</v>
      </c>
      <c r="D5" s="264" t="s">
        <v>29</v>
      </c>
      <c r="E5" s="262" t="s">
        <v>30</v>
      </c>
      <c r="F5" s="118">
        <f>+E4</f>
        <v>40878</v>
      </c>
      <c r="G5" s="118">
        <f t="shared" ref="G5:AJ5" si="0">F5+1</f>
        <v>40879</v>
      </c>
      <c r="H5" s="118">
        <f t="shared" si="0"/>
        <v>40880</v>
      </c>
      <c r="I5" s="118">
        <f t="shared" si="0"/>
        <v>40881</v>
      </c>
      <c r="J5" s="118">
        <f t="shared" si="0"/>
        <v>40882</v>
      </c>
      <c r="K5" s="118">
        <f t="shared" si="0"/>
        <v>40883</v>
      </c>
      <c r="L5" s="118">
        <f t="shared" si="0"/>
        <v>40884</v>
      </c>
      <c r="M5" s="118">
        <f t="shared" si="0"/>
        <v>40885</v>
      </c>
      <c r="N5" s="118">
        <f t="shared" si="0"/>
        <v>40886</v>
      </c>
      <c r="O5" s="118">
        <f t="shared" si="0"/>
        <v>40887</v>
      </c>
      <c r="P5" s="118">
        <f t="shared" si="0"/>
        <v>40888</v>
      </c>
      <c r="Q5" s="118">
        <f t="shared" si="0"/>
        <v>40889</v>
      </c>
      <c r="R5" s="118">
        <f t="shared" si="0"/>
        <v>40890</v>
      </c>
      <c r="S5" s="118">
        <f t="shared" si="0"/>
        <v>40891</v>
      </c>
      <c r="T5" s="118">
        <f t="shared" si="0"/>
        <v>40892</v>
      </c>
      <c r="U5" s="118">
        <f t="shared" si="0"/>
        <v>40893</v>
      </c>
      <c r="V5" s="118">
        <f t="shared" si="0"/>
        <v>40894</v>
      </c>
      <c r="W5" s="118">
        <f t="shared" si="0"/>
        <v>40895</v>
      </c>
      <c r="X5" s="118">
        <f t="shared" si="0"/>
        <v>40896</v>
      </c>
      <c r="Y5" s="118">
        <f t="shared" si="0"/>
        <v>40897</v>
      </c>
      <c r="Z5" s="118">
        <f t="shared" si="0"/>
        <v>40898</v>
      </c>
      <c r="AA5" s="118">
        <f t="shared" si="0"/>
        <v>40899</v>
      </c>
      <c r="AB5" s="118">
        <f t="shared" si="0"/>
        <v>40900</v>
      </c>
      <c r="AC5" s="118">
        <f t="shared" si="0"/>
        <v>40901</v>
      </c>
      <c r="AD5" s="118">
        <f t="shared" si="0"/>
        <v>40902</v>
      </c>
      <c r="AE5" s="118">
        <f t="shared" si="0"/>
        <v>40903</v>
      </c>
      <c r="AF5" s="118">
        <f t="shared" si="0"/>
        <v>40904</v>
      </c>
      <c r="AG5" s="118">
        <f t="shared" si="0"/>
        <v>40905</v>
      </c>
      <c r="AH5" s="118">
        <f>AG5+1</f>
        <v>40906</v>
      </c>
      <c r="AI5" s="118">
        <f t="shared" si="0"/>
        <v>40907</v>
      </c>
      <c r="AJ5" s="118">
        <f t="shared" si="0"/>
        <v>40908</v>
      </c>
      <c r="AK5" s="259" t="s">
        <v>15</v>
      </c>
      <c r="AL5" s="260"/>
      <c r="AM5" s="261"/>
      <c r="AN5" s="265" t="s">
        <v>45</v>
      </c>
      <c r="AO5" s="265" t="s">
        <v>41</v>
      </c>
      <c r="AP5" s="265" t="s">
        <v>42</v>
      </c>
      <c r="AQ5" s="265" t="s">
        <v>43</v>
      </c>
      <c r="AR5" s="265" t="s">
        <v>44</v>
      </c>
      <c r="AS5" s="264" t="s">
        <v>0</v>
      </c>
      <c r="AT5" s="26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63"/>
      <c r="B6" s="263"/>
      <c r="C6" s="263"/>
      <c r="D6" s="263"/>
      <c r="E6" s="263"/>
      <c r="F6" s="175" t="str">
        <f>CHOOSE(WEEKDAY(F5),"C.Nhật","T.Hai","T.Ba","T.Tư","T.Năm","T.Sáu","T.Bảy")</f>
        <v>T.Năm</v>
      </c>
      <c r="G6" s="175" t="str">
        <f t="shared" ref="G6:AJ6" si="1">CHOOSE(WEEKDAY(G5),"C.Nhật","T.Hai","T.Ba","T.Tư","T.Năm","T.Sáu","T.Bảy")</f>
        <v>T.Sáu</v>
      </c>
      <c r="H6" s="175" t="str">
        <f t="shared" si="1"/>
        <v>T.Bảy</v>
      </c>
      <c r="I6" s="175" t="str">
        <f t="shared" si="1"/>
        <v>C.Nhật</v>
      </c>
      <c r="J6" s="175" t="str">
        <f t="shared" si="1"/>
        <v>T.Hai</v>
      </c>
      <c r="K6" s="175" t="str">
        <f t="shared" si="1"/>
        <v>T.Ba</v>
      </c>
      <c r="L6" s="175" t="str">
        <f t="shared" si="1"/>
        <v>T.Tư</v>
      </c>
      <c r="M6" s="175" t="str">
        <f t="shared" si="1"/>
        <v>T.Năm</v>
      </c>
      <c r="N6" s="175" t="str">
        <f t="shared" si="1"/>
        <v>T.Sáu</v>
      </c>
      <c r="O6" s="175" t="str">
        <f t="shared" si="1"/>
        <v>T.Bảy</v>
      </c>
      <c r="P6" s="175" t="str">
        <f t="shared" si="1"/>
        <v>C.Nhật</v>
      </c>
      <c r="Q6" s="175" t="str">
        <f t="shared" si="1"/>
        <v>T.Hai</v>
      </c>
      <c r="R6" s="175" t="str">
        <f t="shared" si="1"/>
        <v>T.Ba</v>
      </c>
      <c r="S6" s="175" t="str">
        <f t="shared" si="1"/>
        <v>T.Tư</v>
      </c>
      <c r="T6" s="175" t="str">
        <f t="shared" si="1"/>
        <v>T.Năm</v>
      </c>
      <c r="U6" s="175" t="str">
        <f t="shared" si="1"/>
        <v>T.Sáu</v>
      </c>
      <c r="V6" s="175" t="str">
        <f t="shared" si="1"/>
        <v>T.Bảy</v>
      </c>
      <c r="W6" s="175" t="str">
        <f t="shared" si="1"/>
        <v>C.Nhật</v>
      </c>
      <c r="X6" s="175" t="str">
        <f t="shared" si="1"/>
        <v>T.Hai</v>
      </c>
      <c r="Y6" s="175" t="str">
        <f t="shared" si="1"/>
        <v>T.Ba</v>
      </c>
      <c r="Z6" s="175" t="str">
        <f t="shared" si="1"/>
        <v>T.Tư</v>
      </c>
      <c r="AA6" s="175" t="str">
        <f t="shared" si="1"/>
        <v>T.Năm</v>
      </c>
      <c r="AB6" s="175" t="str">
        <f t="shared" si="1"/>
        <v>T.Sáu</v>
      </c>
      <c r="AC6" s="175" t="str">
        <f t="shared" si="1"/>
        <v>T.Bảy</v>
      </c>
      <c r="AD6" s="175" t="str">
        <f t="shared" si="1"/>
        <v>C.Nhật</v>
      </c>
      <c r="AE6" s="175" t="str">
        <f t="shared" si="1"/>
        <v>T.Hai</v>
      </c>
      <c r="AF6" s="175" t="str">
        <f t="shared" si="1"/>
        <v>T.Ba</v>
      </c>
      <c r="AG6" s="175" t="str">
        <f t="shared" si="1"/>
        <v>T.Tư</v>
      </c>
      <c r="AH6" s="175" t="str">
        <f t="shared" si="1"/>
        <v>T.Năm</v>
      </c>
      <c r="AI6" s="175" t="str">
        <f t="shared" si="1"/>
        <v>T.Sáu</v>
      </c>
      <c r="AJ6" s="175" t="str">
        <f t="shared" si="1"/>
        <v>T.Bảy</v>
      </c>
      <c r="AK6" s="176" t="s">
        <v>16</v>
      </c>
      <c r="AL6" s="176" t="s">
        <v>31</v>
      </c>
      <c r="AM6" s="177" t="s">
        <v>17</v>
      </c>
      <c r="AN6" s="266"/>
      <c r="AO6" s="266"/>
      <c r="AP6" s="266"/>
      <c r="AQ6" s="266"/>
      <c r="AR6" s="266"/>
      <c r="AS6" s="263"/>
      <c r="AT6" s="26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1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171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53">
        <v>1</v>
      </c>
      <c r="B9" s="253" t="s">
        <v>160</v>
      </c>
      <c r="C9" s="255" t="str">
        <f>VLOOKUP(B9,DS,2,0)</f>
        <v>Lê Kim Ngọc Thảo</v>
      </c>
      <c r="D9" s="257" t="str">
        <f>VLOOKUP(B9,DS,3,0)</f>
        <v>Văn Phòng</v>
      </c>
      <c r="E9" s="68" t="s">
        <v>32</v>
      </c>
      <c r="F9" s="143">
        <v>8</v>
      </c>
      <c r="G9" s="143">
        <v>8</v>
      </c>
      <c r="H9" s="143">
        <v>8</v>
      </c>
      <c r="I9" s="143"/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/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/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/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143"/>
      <c r="AK9" s="247">
        <f>((SUM(F9:AJ9))/8)-(SUMIF($F$6:$AJ$6,"C.Nhật",F9:AJ9)/8)</f>
        <v>26</v>
      </c>
      <c r="AL9" s="247">
        <f>SUM(F10:AJ10)/8*1.5</f>
        <v>0</v>
      </c>
      <c r="AM9" s="249">
        <f>SUMIF($F$6:$AJ$6,"C.Nhật",$F9:$AJ10)/8*2</f>
        <v>0</v>
      </c>
      <c r="AN9" s="240">
        <f>SUM(AK9:AM10)</f>
        <v>26</v>
      </c>
      <c r="AO9" s="251">
        <v>0</v>
      </c>
      <c r="AP9" s="240"/>
      <c r="AQ9" s="240"/>
      <c r="AR9" s="240"/>
      <c r="AS9" s="242"/>
      <c r="AT9" s="21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4"/>
      <c r="B10" s="254"/>
      <c r="C10" s="256"/>
      <c r="D10" s="258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8"/>
      <c r="AL10" s="248"/>
      <c r="AM10" s="250"/>
      <c r="AN10" s="241"/>
      <c r="AO10" s="252"/>
      <c r="AP10" s="241"/>
      <c r="AQ10" s="241"/>
      <c r="AR10" s="241"/>
      <c r="AS10" s="243"/>
      <c r="AT10" s="21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3">
        <v>2</v>
      </c>
      <c r="B11" s="253" t="s">
        <v>161</v>
      </c>
      <c r="C11" s="255" t="str">
        <f>VLOOKUP(B11,DS,2,0)</f>
        <v>Lê Hoàng Diệu</v>
      </c>
      <c r="D11" s="257" t="str">
        <f>VLOOKUP(B11,DS,3,0)</f>
        <v>Kinh Doanh</v>
      </c>
      <c r="E11" s="68" t="s">
        <v>32</v>
      </c>
      <c r="F11" s="143">
        <v>8</v>
      </c>
      <c r="G11" s="143">
        <v>8</v>
      </c>
      <c r="H11" s="143">
        <v>8</v>
      </c>
      <c r="I11" s="143"/>
      <c r="J11" s="143">
        <v>8</v>
      </c>
      <c r="K11" s="143">
        <v>8</v>
      </c>
      <c r="L11" s="143">
        <v>8</v>
      </c>
      <c r="M11" s="143">
        <v>8</v>
      </c>
      <c r="N11" s="143">
        <v>8</v>
      </c>
      <c r="O11" s="143">
        <v>8</v>
      </c>
      <c r="P11" s="143"/>
      <c r="Q11" s="143">
        <v>8</v>
      </c>
      <c r="R11" s="143">
        <v>8</v>
      </c>
      <c r="S11" s="143">
        <v>8</v>
      </c>
      <c r="T11" s="143">
        <v>8</v>
      </c>
      <c r="U11" s="143">
        <v>8</v>
      </c>
      <c r="V11" s="143">
        <v>8</v>
      </c>
      <c r="W11" s="143"/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>
        <v>8</v>
      </c>
      <c r="AD11" s="143"/>
      <c r="AE11" s="143">
        <v>8</v>
      </c>
      <c r="AF11" s="143">
        <v>8</v>
      </c>
      <c r="AG11" s="143">
        <v>8</v>
      </c>
      <c r="AH11" s="143">
        <v>8</v>
      </c>
      <c r="AI11" s="143">
        <v>8</v>
      </c>
      <c r="AJ11" s="143"/>
      <c r="AK11" s="247">
        <f t="shared" ref="AK11" si="2">((SUM(F11:AJ11))/8)-(SUMIF($F$6:$AJ$6,"C.Nhật",F11:AJ11)/8)</f>
        <v>26</v>
      </c>
      <c r="AL11" s="247">
        <f t="shared" ref="AL11" si="3">SUM(F12:AJ12)/8*1.5</f>
        <v>0</v>
      </c>
      <c r="AM11" s="249">
        <f t="shared" ref="AM11:AM13" si="4">SUMIF($F$6:$AJ$6,"C.Nhật",$F11:$AJ12)/8*2</f>
        <v>0</v>
      </c>
      <c r="AN11" s="240">
        <f t="shared" ref="AN11" si="5">SUM(AK11:AM12)</f>
        <v>26</v>
      </c>
      <c r="AO11" s="251">
        <v>0</v>
      </c>
      <c r="AP11" s="240"/>
      <c r="AQ11" s="240"/>
      <c r="AR11" s="240"/>
      <c r="AS11" s="242"/>
      <c r="AT11" s="224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4"/>
      <c r="B12" s="254"/>
      <c r="C12" s="256"/>
      <c r="D12" s="258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8"/>
      <c r="AL12" s="248"/>
      <c r="AM12" s="250"/>
      <c r="AN12" s="241"/>
      <c r="AO12" s="252"/>
      <c r="AP12" s="241"/>
      <c r="AQ12" s="241"/>
      <c r="AR12" s="241"/>
      <c r="AS12" s="243"/>
      <c r="AT12" s="224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3">
        <v>3</v>
      </c>
      <c r="B13" s="253" t="s">
        <v>168</v>
      </c>
      <c r="C13" s="255" t="str">
        <f>VLOOKUP(B13,DS,2,0)</f>
        <v>Trần Hòa Toản</v>
      </c>
      <c r="D13" s="257" t="str">
        <f>VLOOKUP(B13,DS,3,0)</f>
        <v>Tài xế</v>
      </c>
      <c r="E13" s="68" t="s">
        <v>32</v>
      </c>
      <c r="F13" s="143">
        <v>8</v>
      </c>
      <c r="G13" s="143">
        <v>8</v>
      </c>
      <c r="H13" s="143">
        <v>8</v>
      </c>
      <c r="I13" s="143"/>
      <c r="J13" s="143">
        <v>8</v>
      </c>
      <c r="K13" s="143">
        <v>8</v>
      </c>
      <c r="L13" s="143">
        <v>8</v>
      </c>
      <c r="M13" s="143">
        <v>8</v>
      </c>
      <c r="N13" s="143">
        <v>8</v>
      </c>
      <c r="O13" s="143">
        <v>8</v>
      </c>
      <c r="P13" s="143"/>
      <c r="Q13" s="143">
        <v>8</v>
      </c>
      <c r="R13" s="143">
        <v>8</v>
      </c>
      <c r="S13" s="143">
        <v>8</v>
      </c>
      <c r="T13" s="143">
        <v>8</v>
      </c>
      <c r="U13" s="143">
        <v>8</v>
      </c>
      <c r="V13" s="143">
        <v>8</v>
      </c>
      <c r="W13" s="143"/>
      <c r="X13" s="143">
        <v>8</v>
      </c>
      <c r="Y13" s="143">
        <v>8</v>
      </c>
      <c r="Z13" s="143">
        <v>8</v>
      </c>
      <c r="AA13" s="143">
        <v>8</v>
      </c>
      <c r="AB13" s="143">
        <v>8</v>
      </c>
      <c r="AC13" s="143">
        <v>8</v>
      </c>
      <c r="AD13" s="143"/>
      <c r="AE13" s="143">
        <v>8</v>
      </c>
      <c r="AF13" s="143">
        <v>8</v>
      </c>
      <c r="AG13" s="143">
        <v>7.7885004255319146</v>
      </c>
      <c r="AH13" s="143"/>
      <c r="AI13" s="143"/>
      <c r="AJ13" s="143"/>
      <c r="AK13" s="247">
        <f t="shared" ref="AK13" si="6">((SUM(F13:AJ13))/8)-(SUMIF($F$6:$AJ$6,"C.Nhật",F13:AJ13)/8)</f>
        <v>23.973562553191488</v>
      </c>
      <c r="AL13" s="247">
        <f t="shared" ref="AL13" si="7">SUM(F14:AJ14)/8*1.5</f>
        <v>0</v>
      </c>
      <c r="AM13" s="249">
        <f t="shared" si="4"/>
        <v>0</v>
      </c>
      <c r="AN13" s="240">
        <f t="shared" ref="AN13" si="8">SUM(AK13:AM14)</f>
        <v>23.973562553191488</v>
      </c>
      <c r="AO13" s="251">
        <v>0</v>
      </c>
      <c r="AP13" s="240"/>
      <c r="AQ13" s="240"/>
      <c r="AR13" s="240"/>
      <c r="AS13" s="242"/>
      <c r="AT13" s="217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4"/>
      <c r="B14" s="254"/>
      <c r="C14" s="256"/>
      <c r="D14" s="258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48"/>
      <c r="AL14" s="248"/>
      <c r="AM14" s="250"/>
      <c r="AN14" s="241"/>
      <c r="AO14" s="252"/>
      <c r="AP14" s="241"/>
      <c r="AQ14" s="241"/>
      <c r="AR14" s="241"/>
      <c r="AS14" s="243"/>
      <c r="AT14" s="217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159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53">
        <v>1</v>
      </c>
      <c r="B16" s="253" t="s">
        <v>162</v>
      </c>
      <c r="C16" s="255" t="str">
        <f>VLOOKUP(B16,DS,2,0)</f>
        <v>Bùi Trường Giang</v>
      </c>
      <c r="D16" s="257" t="str">
        <f>VLOOKUP(B16,DS,3,0)</f>
        <v>Thợ in</v>
      </c>
      <c r="E16" s="68" t="s">
        <v>32</v>
      </c>
      <c r="F16" s="143">
        <v>8</v>
      </c>
      <c r="G16" s="143">
        <v>8</v>
      </c>
      <c r="H16" s="143">
        <v>8</v>
      </c>
      <c r="I16" s="143"/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/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/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/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143"/>
      <c r="AK16" s="247">
        <f t="shared" ref="AK16" si="9">((SUM(F16:AJ16))/8)-(SUMIF($F$6:$AJ$6,"C.Nhật",F16:AJ16)/8)</f>
        <v>26</v>
      </c>
      <c r="AL16" s="247">
        <f t="shared" ref="AL16" si="10">SUM(F17:AJ17)/8*1.5</f>
        <v>0</v>
      </c>
      <c r="AM16" s="249">
        <f>SUMIF($F$6:$AJ$6,"C.Nhật",$F16:$AJ17)/8*2</f>
        <v>0</v>
      </c>
      <c r="AN16" s="240">
        <f>SUM(AK16:AM17)</f>
        <v>26</v>
      </c>
      <c r="AO16" s="251">
        <v>0</v>
      </c>
      <c r="AP16" s="240"/>
      <c r="AQ16" s="240"/>
      <c r="AR16" s="240"/>
      <c r="AS16" s="242"/>
      <c r="AT16" s="21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4"/>
      <c r="B17" s="254"/>
      <c r="C17" s="256"/>
      <c r="D17" s="258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8"/>
      <c r="AL17" s="248"/>
      <c r="AM17" s="250"/>
      <c r="AN17" s="241"/>
      <c r="AO17" s="252"/>
      <c r="AP17" s="241"/>
      <c r="AQ17" s="241"/>
      <c r="AR17" s="241"/>
      <c r="AS17" s="243"/>
      <c r="AT17" s="21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3">
        <f>A16+1</f>
        <v>2</v>
      </c>
      <c r="B18" s="253" t="s">
        <v>163</v>
      </c>
      <c r="C18" s="255" t="str">
        <f>VLOOKUP(B18,DS,2,0)</f>
        <v>Huỳnh Thanh Tùng</v>
      </c>
      <c r="D18" s="257" t="str">
        <f>VLOOKUP(B18,DS,3,0)</f>
        <v>Thợ đóng - xả</v>
      </c>
      <c r="E18" s="68" t="s">
        <v>32</v>
      </c>
      <c r="F18" s="143">
        <v>8</v>
      </c>
      <c r="G18" s="143">
        <v>8</v>
      </c>
      <c r="H18" s="143">
        <v>8</v>
      </c>
      <c r="I18" s="143"/>
      <c r="J18" s="143">
        <v>8</v>
      </c>
      <c r="K18" s="143">
        <v>8</v>
      </c>
      <c r="L18" s="143">
        <v>8</v>
      </c>
      <c r="M18" s="143">
        <v>8</v>
      </c>
      <c r="N18" s="143">
        <v>8</v>
      </c>
      <c r="O18" s="143">
        <v>8</v>
      </c>
      <c r="P18" s="143"/>
      <c r="Q18" s="143">
        <v>8</v>
      </c>
      <c r="R18" s="143">
        <v>8</v>
      </c>
      <c r="S18" s="143">
        <v>8</v>
      </c>
      <c r="T18" s="143">
        <v>8</v>
      </c>
      <c r="U18" s="143">
        <v>8</v>
      </c>
      <c r="V18" s="143">
        <v>8</v>
      </c>
      <c r="W18" s="143"/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>
        <v>8</v>
      </c>
      <c r="AD18" s="143"/>
      <c r="AE18" s="143">
        <v>8</v>
      </c>
      <c r="AF18" s="143">
        <v>8</v>
      </c>
      <c r="AG18" s="143">
        <v>8</v>
      </c>
      <c r="AH18" s="143">
        <v>8</v>
      </c>
      <c r="AI18" s="143">
        <v>8</v>
      </c>
      <c r="AJ18" s="143"/>
      <c r="AK18" s="247">
        <f t="shared" ref="AK18" si="11">((SUM(F18:AJ18))/8)-(SUMIF($F$6:$AJ$6,"C.Nhật",F18:AJ18)/8)</f>
        <v>26</v>
      </c>
      <c r="AL18" s="247">
        <f t="shared" ref="AL18" si="12">SUM(F19:AJ19)/8*1.5</f>
        <v>0</v>
      </c>
      <c r="AM18" s="249">
        <f>SUMIF($F$6:$AJ$6,"C.Nhật",$F18:$AJ19)/8*2</f>
        <v>0</v>
      </c>
      <c r="AN18" s="240">
        <f t="shared" ref="AN18" si="13">SUM(AK18:AM19)</f>
        <v>26</v>
      </c>
      <c r="AO18" s="251">
        <v>0</v>
      </c>
      <c r="AP18" s="240"/>
      <c r="AQ18" s="240"/>
      <c r="AR18" s="240"/>
      <c r="AS18" s="242"/>
      <c r="AT18" s="21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4"/>
      <c r="B19" s="254"/>
      <c r="C19" s="256"/>
      <c r="D19" s="258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86"/>
      <c r="AL19" s="286"/>
      <c r="AM19" s="250"/>
      <c r="AN19" s="241"/>
      <c r="AO19" s="252"/>
      <c r="AP19" s="241"/>
      <c r="AQ19" s="241"/>
      <c r="AR19" s="241"/>
      <c r="AS19" s="243"/>
      <c r="AT19" s="21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3">
        <f>A18+1</f>
        <v>3</v>
      </c>
      <c r="B20" s="253" t="s">
        <v>164</v>
      </c>
      <c r="C20" s="255" t="str">
        <f>VLOOKUP(B20,DS,2,0)</f>
        <v>Danh Sà Phép</v>
      </c>
      <c r="D20" s="257" t="str">
        <f>VLOOKUP(B20,DS,3,0)</f>
        <v>Công nhân</v>
      </c>
      <c r="E20" s="68" t="s">
        <v>32</v>
      </c>
      <c r="F20" s="143">
        <v>8</v>
      </c>
      <c r="G20" s="143">
        <v>8</v>
      </c>
      <c r="H20" s="143">
        <v>8</v>
      </c>
      <c r="I20" s="143"/>
      <c r="J20" s="143">
        <v>8</v>
      </c>
      <c r="K20" s="143">
        <v>8</v>
      </c>
      <c r="L20" s="143">
        <v>8</v>
      </c>
      <c r="M20" s="143">
        <v>8</v>
      </c>
      <c r="N20" s="143">
        <v>8</v>
      </c>
      <c r="O20" s="143">
        <v>8</v>
      </c>
      <c r="P20" s="143"/>
      <c r="Q20" s="143">
        <v>8</v>
      </c>
      <c r="R20" s="143">
        <v>8</v>
      </c>
      <c r="S20" s="143">
        <v>8</v>
      </c>
      <c r="T20" s="143">
        <v>8</v>
      </c>
      <c r="U20" s="143">
        <v>8</v>
      </c>
      <c r="V20" s="143">
        <v>8</v>
      </c>
      <c r="W20" s="143"/>
      <c r="X20" s="143">
        <v>8</v>
      </c>
      <c r="Y20" s="143">
        <v>8</v>
      </c>
      <c r="Z20" s="143">
        <v>8</v>
      </c>
      <c r="AA20" s="143">
        <v>8</v>
      </c>
      <c r="AB20" s="143">
        <v>8</v>
      </c>
      <c r="AC20" s="143">
        <v>8</v>
      </c>
      <c r="AD20" s="143"/>
      <c r="AE20" s="143">
        <v>8</v>
      </c>
      <c r="AF20" s="143">
        <v>8</v>
      </c>
      <c r="AG20" s="143">
        <v>8</v>
      </c>
      <c r="AH20" s="143">
        <v>8</v>
      </c>
      <c r="AI20" s="143">
        <v>8</v>
      </c>
      <c r="AJ20" s="143"/>
      <c r="AK20" s="247">
        <f t="shared" ref="AK20" si="14">((SUM(F20:AJ20))/8)-(SUMIF($F$6:$AJ$6,"C.Nhật",F20:AJ20)/8)</f>
        <v>26</v>
      </c>
      <c r="AL20" s="247">
        <f t="shared" ref="AL20" si="15">SUM(F21:AJ21)/8*1.5</f>
        <v>0</v>
      </c>
      <c r="AM20" s="249">
        <f>SUMIF($F$6:$AJ$6,"C.Nhật",$F20:$AJ21)/8*2</f>
        <v>0</v>
      </c>
      <c r="AN20" s="240">
        <f t="shared" ref="AN20" si="16">SUM(AK20:AM21)</f>
        <v>26</v>
      </c>
      <c r="AO20" s="251">
        <v>0</v>
      </c>
      <c r="AP20" s="240"/>
      <c r="AQ20" s="240"/>
      <c r="AR20" s="240"/>
      <c r="AS20" s="242"/>
      <c r="AT20" s="220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4"/>
      <c r="B21" s="254"/>
      <c r="C21" s="256"/>
      <c r="D21" s="258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8"/>
      <c r="AL21" s="248"/>
      <c r="AM21" s="250"/>
      <c r="AN21" s="241"/>
      <c r="AO21" s="252"/>
      <c r="AP21" s="241"/>
      <c r="AQ21" s="241"/>
      <c r="AR21" s="241"/>
      <c r="AS21" s="243"/>
      <c r="AT21" s="220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215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215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1:91" s="215" customFormat="1" ht="15" customHeight="1">
      <c r="A33" s="2"/>
      <c r="B33" s="2"/>
      <c r="C33" s="2" t="s">
        <v>49</v>
      </c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5" customFormat="1" ht="15" customHeight="1">
      <c r="A34" s="2"/>
      <c r="B34" s="2"/>
      <c r="C34" s="2" t="s">
        <v>50</v>
      </c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15" customFormat="1" ht="15" customHeight="1">
      <c r="A35" s="2"/>
      <c r="B35" s="2"/>
      <c r="C35" s="2" t="s">
        <v>51</v>
      </c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15" customFormat="1" ht="15" customHeight="1">
      <c r="A36" s="2"/>
      <c r="B36" s="2"/>
      <c r="C36" s="2" t="s">
        <v>52</v>
      </c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215" customFormat="1" ht="15" customHeight="1">
      <c r="A37" s="2"/>
      <c r="B37" s="2"/>
      <c r="C37" s="2" t="s">
        <v>53</v>
      </c>
      <c r="E37" s="2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  <c r="AH37" s="124"/>
      <c r="AI37" s="124"/>
      <c r="AJ37" s="124"/>
      <c r="AK37" s="2"/>
      <c r="AL37" s="2"/>
      <c r="AM37" s="100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215" customFormat="1" ht="15" customHeight="1">
      <c r="A38" s="2"/>
      <c r="B38" s="2"/>
      <c r="C38" s="2" t="s">
        <v>54</v>
      </c>
      <c r="E38" s="2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  <c r="AB38" s="123"/>
      <c r="AC38" s="123"/>
      <c r="AD38" s="123"/>
      <c r="AE38" s="123"/>
      <c r="AF38" s="123"/>
      <c r="AG38" s="123"/>
      <c r="AH38" s="124"/>
      <c r="AI38" s="124"/>
      <c r="AJ38" s="124"/>
      <c r="AK38" s="2"/>
      <c r="AL38" s="2"/>
      <c r="AM38" s="100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A16:A21 C16:E21" name="Range1_6_2"/>
    <protectedRange password="CC78" sqref="B16:B21" name="Range1_4_2"/>
  </protectedRanges>
  <mergeCells count="92">
    <mergeCell ref="AR20:AR21"/>
    <mergeCell ref="AS20:AS21"/>
    <mergeCell ref="AM20:AM21"/>
    <mergeCell ref="AN20:AN21"/>
    <mergeCell ref="AO20:AO21"/>
    <mergeCell ref="AP20:AP21"/>
    <mergeCell ref="AQ20:AQ21"/>
    <mergeCell ref="A20:A21"/>
    <mergeCell ref="B20:B21"/>
    <mergeCell ref="C20:C21"/>
    <mergeCell ref="D20:D21"/>
    <mergeCell ref="AK20:AK21"/>
    <mergeCell ref="AL20:AL21"/>
    <mergeCell ref="A16:A17"/>
    <mergeCell ref="B16:B17"/>
    <mergeCell ref="AS18:AS19"/>
    <mergeCell ref="AM18:AM19"/>
    <mergeCell ref="AN18:AN19"/>
    <mergeCell ref="AO18:AO19"/>
    <mergeCell ref="AP18:AP19"/>
    <mergeCell ref="AQ18:AQ19"/>
    <mergeCell ref="AR18:AR19"/>
    <mergeCell ref="AR16:AR17"/>
    <mergeCell ref="AS16:AS17"/>
    <mergeCell ref="AL16:AL17"/>
    <mergeCell ref="AM16:AM17"/>
    <mergeCell ref="AN16:AN17"/>
    <mergeCell ref="AO16:AO17"/>
    <mergeCell ref="C16:C17"/>
    <mergeCell ref="D16:D17"/>
    <mergeCell ref="AK16:AK17"/>
    <mergeCell ref="AP13:AP14"/>
    <mergeCell ref="AQ13:AQ14"/>
    <mergeCell ref="AP16:AP17"/>
    <mergeCell ref="AQ16:AQ17"/>
    <mergeCell ref="AR13:AR14"/>
    <mergeCell ref="AS13:AS14"/>
    <mergeCell ref="AL13:AL14"/>
    <mergeCell ref="AM13:AM14"/>
    <mergeCell ref="AN13:AN14"/>
    <mergeCell ref="AO13:AO14"/>
    <mergeCell ref="A13:A14"/>
    <mergeCell ref="B13:B14"/>
    <mergeCell ref="C13:C14"/>
    <mergeCell ref="D13:D14"/>
    <mergeCell ref="AK13:AK14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8:A19"/>
    <mergeCell ref="AL18:AL19"/>
    <mergeCell ref="AK18:AK19"/>
    <mergeCell ref="D18:D19"/>
    <mergeCell ref="C18:C19"/>
    <mergeCell ref="B18:B19"/>
    <mergeCell ref="A11:A12"/>
    <mergeCell ref="B11:B12"/>
    <mergeCell ref="C11:C12"/>
    <mergeCell ref="D11:D12"/>
    <mergeCell ref="AK11:AK12"/>
    <mergeCell ref="AQ11:AQ12"/>
    <mergeCell ref="AR11:AR12"/>
    <mergeCell ref="AS11:AS12"/>
    <mergeCell ref="AL11:AL12"/>
    <mergeCell ref="AM11:AM12"/>
    <mergeCell ref="AN11:AN12"/>
    <mergeCell ref="AO11:AO12"/>
    <mergeCell ref="AP11:AP12"/>
  </mergeCells>
  <conditionalFormatting sqref="F5:AJ6 F14:AJ14 F13:AD13 F9:AJ10">
    <cfRule type="expression" dxfId="11" priority="26" stopIfTrue="1">
      <formula>IF(WEEKDAY(F$5)=1,TRUE,FALSE)</formula>
    </cfRule>
  </conditionalFormatting>
  <conditionalFormatting sqref="F14:AJ14 F13:AD13 F9:AJ10">
    <cfRule type="expression" dxfId="10" priority="25" stopIfTrue="1">
      <formula>IF(WEEKDAY(F$5)=1,TRUE,FALSE)</formula>
    </cfRule>
  </conditionalFormatting>
  <conditionalFormatting sqref="F16:AJ19">
    <cfRule type="expression" dxfId="9" priority="14" stopIfTrue="1">
      <formula>IF(WEEKDAY(F$5)=1,TRUE,FALSE)</formula>
    </cfRule>
  </conditionalFormatting>
  <conditionalFormatting sqref="F16:AJ19">
    <cfRule type="expression" dxfId="8" priority="13" stopIfTrue="1">
      <formula>IF(WEEKDAY(F$5)=1,TRUE,FALSE)</formula>
    </cfRule>
  </conditionalFormatting>
  <conditionalFormatting sqref="F20:AJ21">
    <cfRule type="expression" dxfId="7" priority="10" stopIfTrue="1">
      <formula>IF(WEEKDAY(F$5)=1,TRUE,FALSE)</formula>
    </cfRule>
  </conditionalFormatting>
  <conditionalFormatting sqref="F20:AJ21">
    <cfRule type="expression" dxfId="6" priority="9" stopIfTrue="1">
      <formula>IF(WEEKDAY(F$5)=1,TRUE,FALSE)</formula>
    </cfRule>
  </conditionalFormatting>
  <conditionalFormatting sqref="F11:W11 F12:AJ12">
    <cfRule type="expression" dxfId="5" priority="6" stopIfTrue="1">
      <formula>IF(WEEKDAY(F$5)=1,TRUE,FALSE)</formula>
    </cfRule>
  </conditionalFormatting>
  <conditionalFormatting sqref="F11:W11 F12:AJ12">
    <cfRule type="expression" dxfId="4" priority="5" stopIfTrue="1">
      <formula>IF(WEEKDAY(F$5)=1,TRUE,FALSE)</formula>
    </cfRule>
  </conditionalFormatting>
  <conditionalFormatting sqref="X11:AJ11">
    <cfRule type="expression" dxfId="3" priority="4" stopIfTrue="1">
      <formula>IF(WEEKDAY(X$5)=1,TRUE,FALSE)</formula>
    </cfRule>
  </conditionalFormatting>
  <conditionalFormatting sqref="X11:AJ11">
    <cfRule type="expression" dxfId="2" priority="3" stopIfTrue="1">
      <formula>IF(WEEKDAY(X$5)=1,TRUE,FALSE)</formula>
    </cfRule>
  </conditionalFormatting>
  <conditionalFormatting sqref="AE13:AJ13">
    <cfRule type="expression" dxfId="1" priority="2" stopIfTrue="1">
      <formula>IF(WEEKDAY(AE$5)=1,TRUE,FALSE)</formula>
    </cfRule>
  </conditionalFormatting>
  <conditionalFormatting sqref="AE13:AJ13">
    <cfRule type="expression" dxfId="0" priority="1" stopIfTrue="1">
      <formula>IF(WEEKDAY(AE$5)=1,TRUE,FALSE)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E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S20" activeCellId="1" sqref="S14 S20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18"/>
      <c r="C1" s="218"/>
      <c r="D1" s="277" t="str">
        <f>"BẢNG THANH TOÁN LƯƠNG THÁNG"&amp;" "&amp;TEXT($E$4,"mm")&amp;" / "&amp;TEXT($E$4,"yyyy")</f>
        <v>BẢNG THANH TOÁN LƯƠNG THÁNG 12 / 2011</v>
      </c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8"/>
      <c r="R1" s="271" t="s">
        <v>170</v>
      </c>
      <c r="S1" s="272"/>
      <c r="T1" s="273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18"/>
      <c r="C2" s="218"/>
      <c r="D2" s="218"/>
      <c r="E2" s="81"/>
      <c r="F2" s="218"/>
      <c r="G2" s="218"/>
      <c r="H2" s="218"/>
      <c r="I2" s="218"/>
      <c r="J2" s="82"/>
      <c r="K2" s="218"/>
      <c r="L2" s="218"/>
      <c r="M2" s="218"/>
      <c r="N2" s="218"/>
      <c r="O2" s="218"/>
      <c r="P2" s="218"/>
      <c r="Q2" s="218"/>
      <c r="R2" s="218"/>
      <c r="S2" s="218"/>
      <c r="T2" s="59"/>
      <c r="U2" s="80"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18"/>
      <c r="C3" s="218"/>
      <c r="D3" s="218"/>
      <c r="E3" s="81"/>
      <c r="F3" s="218"/>
      <c r="G3" s="218"/>
      <c r="H3" s="218"/>
      <c r="I3" s="218"/>
      <c r="J3" s="82"/>
      <c r="K3" s="218"/>
      <c r="L3" s="218"/>
      <c r="M3" s="218"/>
      <c r="N3" s="218"/>
      <c r="O3" s="218"/>
      <c r="P3" s="218"/>
      <c r="Q3" s="218"/>
      <c r="R3" s="218"/>
      <c r="S3" s="218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-12'!$E$4</f>
        <v>40878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9" t="s">
        <v>19</v>
      </c>
      <c r="B5" s="279" t="s">
        <v>20</v>
      </c>
      <c r="C5" s="233" t="s">
        <v>1</v>
      </c>
      <c r="D5" s="233" t="s">
        <v>2</v>
      </c>
      <c r="E5" s="228" t="s">
        <v>56</v>
      </c>
      <c r="F5" s="281" t="s">
        <v>26</v>
      </c>
      <c r="G5" s="283"/>
      <c r="H5" s="283"/>
      <c r="I5" s="283"/>
      <c r="J5" s="283"/>
      <c r="K5" s="282"/>
      <c r="L5" s="268" t="s">
        <v>57</v>
      </c>
      <c r="M5" s="268" t="s">
        <v>5</v>
      </c>
      <c r="N5" s="233" t="s">
        <v>6</v>
      </c>
      <c r="O5" s="233"/>
      <c r="P5" s="233"/>
      <c r="Q5" s="268" t="s">
        <v>7</v>
      </c>
      <c r="R5" s="268" t="s">
        <v>8</v>
      </c>
      <c r="S5" s="268" t="s">
        <v>9</v>
      </c>
      <c r="T5" s="22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80"/>
      <c r="B6" s="280"/>
      <c r="C6" s="233"/>
      <c r="D6" s="233"/>
      <c r="E6" s="228"/>
      <c r="F6" s="281" t="s">
        <v>59</v>
      </c>
      <c r="G6" s="282"/>
      <c r="H6" s="281" t="s">
        <v>158</v>
      </c>
      <c r="I6" s="283"/>
      <c r="J6" s="284" t="s">
        <v>27</v>
      </c>
      <c r="K6" s="268" t="s">
        <v>4</v>
      </c>
      <c r="L6" s="269"/>
      <c r="M6" s="269"/>
      <c r="N6" s="274" t="s">
        <v>12</v>
      </c>
      <c r="O6" s="268" t="s">
        <v>13</v>
      </c>
      <c r="P6" s="268" t="s">
        <v>34</v>
      </c>
      <c r="Q6" s="269"/>
      <c r="R6" s="269"/>
      <c r="S6" s="269"/>
      <c r="T6" s="23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80"/>
      <c r="B7" s="280"/>
      <c r="C7" s="268"/>
      <c r="D7" s="268"/>
      <c r="E7" s="228"/>
      <c r="F7" s="219" t="s">
        <v>40</v>
      </c>
      <c r="G7" s="216" t="s">
        <v>18</v>
      </c>
      <c r="H7" s="219" t="s">
        <v>40</v>
      </c>
      <c r="I7" s="128" t="s">
        <v>18</v>
      </c>
      <c r="J7" s="285"/>
      <c r="K7" s="269"/>
      <c r="L7" s="270"/>
      <c r="M7" s="270"/>
      <c r="N7" s="275"/>
      <c r="O7" s="269"/>
      <c r="P7" s="269"/>
      <c r="Q7" s="269"/>
      <c r="R7" s="269"/>
      <c r="S7" s="269"/>
      <c r="T7" s="23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171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160</v>
      </c>
      <c r="C10" s="89" t="str">
        <f t="shared" ref="C10" si="0">VLOOKUP(B10,DS,2,0)</f>
        <v>Lê Kim Ngọc Thảo</v>
      </c>
      <c r="D10" s="116" t="str">
        <f t="shared" ref="D10" si="1">VLOOKUP(B10,DS,3,0)</f>
        <v>Văn Phòng</v>
      </c>
      <c r="E10" s="90">
        <f t="shared" ref="E10" si="2">VLOOKUP(B10,DS,4,0)</f>
        <v>2500000</v>
      </c>
      <c r="F10" s="92">
        <f>VLOOKUP(B10,'CC -12'!$B$8:$AS$21,36,0)</f>
        <v>26</v>
      </c>
      <c r="G10" s="145">
        <f t="shared" ref="G10" si="3">ROUND(E10/$U$2*F10,0)</f>
        <v>2407407</v>
      </c>
      <c r="H10" s="92">
        <f>(VLOOKUP(B10,'CC -12'!$B$8:$AS$21,37,0)+VLOOKUP(B10,'CC -12'!$B$8:$AS$21,38,0))</f>
        <v>0</v>
      </c>
      <c r="I10" s="145">
        <f t="shared" ref="I10" si="4">ROUND(E10/$U$2*H10,0)</f>
        <v>0</v>
      </c>
      <c r="J10" s="93">
        <f t="shared" ref="J10" si="5">F10+H10</f>
        <v>26</v>
      </c>
      <c r="K10" s="39">
        <f>G10+I10</f>
        <v>2407407</v>
      </c>
      <c r="L10" s="90">
        <f>ROUND(F10,0)*15000</f>
        <v>390000</v>
      </c>
      <c r="M10" s="40">
        <f t="shared" ref="M10" si="6">K10+L10</f>
        <v>2797407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" si="7">M10-SUM(N10:P10)</f>
        <v>2797407</v>
      </c>
      <c r="R10" s="39">
        <f>VLOOKUP(B10,DS,23,0)</f>
        <v>0</v>
      </c>
      <c r="S10" s="45">
        <f t="shared" ref="S10" si="8">Q10-R10</f>
        <v>2797407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161</v>
      </c>
      <c r="C11" s="89" t="str">
        <f t="shared" ref="C11:C12" si="9">VLOOKUP(B11,DS,2,0)</f>
        <v>Lê Hoàng Diệu</v>
      </c>
      <c r="D11" s="116" t="str">
        <f t="shared" ref="D11:D12" si="10">VLOOKUP(B11,DS,3,0)</f>
        <v>Kinh Doanh</v>
      </c>
      <c r="E11" s="90">
        <f t="shared" ref="E11:E12" si="11">VLOOKUP(B11,DS,4,0)</f>
        <v>2400000</v>
      </c>
      <c r="F11" s="92">
        <f>VLOOKUP(B11,'CC -12'!$B$8:$AS$21,36,0)</f>
        <v>26</v>
      </c>
      <c r="G11" s="145">
        <f t="shared" ref="G11:G12" si="12">ROUND(E11/$U$2*F11,0)</f>
        <v>2311111</v>
      </c>
      <c r="H11" s="92">
        <f>(VLOOKUP(B11,'CC -12'!$B$8:$AS$21,37,0)+VLOOKUP(B11,'CC -12'!$B$8:$AS$21,38,0))</f>
        <v>0</v>
      </c>
      <c r="I11" s="145">
        <f t="shared" ref="I11:I12" si="13">ROUND(E11/$U$2*H11,0)</f>
        <v>0</v>
      </c>
      <c r="J11" s="93">
        <f t="shared" ref="J11:J12" si="14">F11+H11</f>
        <v>26</v>
      </c>
      <c r="K11" s="39">
        <f t="shared" ref="K11:K12" si="15">G11+I11</f>
        <v>2311111</v>
      </c>
      <c r="L11" s="90">
        <f t="shared" ref="L11:L12" si="16">ROUND(F11,0)*15000</f>
        <v>390000</v>
      </c>
      <c r="M11" s="40">
        <f t="shared" ref="M11:M12" si="17">K11+L11</f>
        <v>2701111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ref="Q11:Q12" si="18">M11-SUM(N11:P11)</f>
        <v>2701111</v>
      </c>
      <c r="R11" s="39">
        <f>VLOOKUP(B11,DS,23,0)</f>
        <v>0</v>
      </c>
      <c r="S11" s="45">
        <f t="shared" ref="S11:S12" si="19">Q11-R11</f>
        <v>2701111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168</v>
      </c>
      <c r="C12" s="89" t="str">
        <f t="shared" si="9"/>
        <v>Trần Hòa Toản</v>
      </c>
      <c r="D12" s="116" t="str">
        <f t="shared" si="10"/>
        <v>Tài xế</v>
      </c>
      <c r="E12" s="90">
        <f t="shared" si="11"/>
        <v>2350000</v>
      </c>
      <c r="F12" s="92">
        <f>VLOOKUP(B12,'CC -12'!$B$8:$AS$21,36,0)</f>
        <v>23.973562553191488</v>
      </c>
      <c r="G12" s="145">
        <f t="shared" si="12"/>
        <v>2086588</v>
      </c>
      <c r="H12" s="92">
        <f>(VLOOKUP(B12,'CC -12'!$B$8:$AS$21,37,0)+VLOOKUP(B12,'CC -12'!$B$8:$AS$21,38,0))</f>
        <v>0</v>
      </c>
      <c r="I12" s="145">
        <f t="shared" si="13"/>
        <v>0</v>
      </c>
      <c r="J12" s="93">
        <f t="shared" si="14"/>
        <v>23.973562553191488</v>
      </c>
      <c r="K12" s="39">
        <f t="shared" si="15"/>
        <v>2086588</v>
      </c>
      <c r="L12" s="90">
        <f t="shared" si="16"/>
        <v>360000</v>
      </c>
      <c r="M12" s="40">
        <f t="shared" si="17"/>
        <v>2446588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18"/>
        <v>2446588</v>
      </c>
      <c r="R12" s="39">
        <f>VLOOKUP(B12,DS,23,0)</f>
        <v>0</v>
      </c>
      <c r="S12" s="45">
        <f t="shared" si="19"/>
        <v>2446588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222"/>
      <c r="V13" s="37">
        <v>99736</v>
      </c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76" t="s">
        <v>25</v>
      </c>
      <c r="B14" s="276"/>
      <c r="C14" s="276"/>
      <c r="D14" s="276"/>
      <c r="E14" s="140">
        <f>SUM(E9:E13)</f>
        <v>7250000</v>
      </c>
      <c r="F14" s="140"/>
      <c r="G14" s="140">
        <f>SUM(G9:G13)</f>
        <v>6805106</v>
      </c>
      <c r="H14" s="140"/>
      <c r="I14" s="140">
        <f>SUM(I9:I13)</f>
        <v>0</v>
      </c>
      <c r="J14" s="140"/>
      <c r="K14" s="140">
        <f t="shared" ref="K14:S14" si="20">SUM(K9:K13)</f>
        <v>6805106</v>
      </c>
      <c r="L14" s="140">
        <f t="shared" si="20"/>
        <v>1140000</v>
      </c>
      <c r="M14" s="140">
        <f t="shared" si="20"/>
        <v>7945106</v>
      </c>
      <c r="N14" s="140">
        <f t="shared" si="20"/>
        <v>0</v>
      </c>
      <c r="O14" s="140">
        <f t="shared" si="20"/>
        <v>0</v>
      </c>
      <c r="P14" s="140">
        <f t="shared" si="20"/>
        <v>0</v>
      </c>
      <c r="Q14" s="140">
        <f t="shared" si="20"/>
        <v>7945106</v>
      </c>
      <c r="R14" s="140">
        <f t="shared" si="20"/>
        <v>0</v>
      </c>
      <c r="S14" s="140">
        <f t="shared" si="20"/>
        <v>7945106</v>
      </c>
      <c r="T14" s="26"/>
      <c r="U14" s="222"/>
      <c r="V14" s="33">
        <f>E12/U2/8</f>
        <v>10879.62962962963</v>
      </c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222"/>
      <c r="V15" s="225">
        <f>(V13-15000)/V14</f>
        <v>7.7885004255319146</v>
      </c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162</v>
      </c>
      <c r="C16" s="89" t="str">
        <f t="shared" ref="C16:C18" si="21">VLOOKUP(B16,DS,2,0)</f>
        <v>Bùi Trường Giang</v>
      </c>
      <c r="D16" s="116" t="str">
        <f t="shared" ref="D16:D18" si="22">VLOOKUP(B16,DS,3,0)</f>
        <v>Thợ in</v>
      </c>
      <c r="E16" s="90">
        <f t="shared" ref="E16:E18" si="23">VLOOKUP(B16,DS,4,0)</f>
        <v>1800000</v>
      </c>
      <c r="F16" s="92">
        <f>VLOOKUP(B16,'CC -12'!$B$8:$AS$21,36,0)</f>
        <v>26</v>
      </c>
      <c r="G16" s="145">
        <f t="shared" ref="G16:G18" si="24">ROUND(E16/$U$2*F16,0)</f>
        <v>1733333</v>
      </c>
      <c r="H16" s="92">
        <f>(VLOOKUP(B16,'CC -12'!$B$8:$AS$21,37,0)+VLOOKUP(B16,'CC -12'!$B$8:$AS$21,38,0))</f>
        <v>0</v>
      </c>
      <c r="I16" s="145">
        <f t="shared" ref="I16:I18" si="25">ROUND(E16/$U$2*H16,0)</f>
        <v>0</v>
      </c>
      <c r="J16" s="146">
        <f t="shared" ref="J16:K18" si="26">F16+H16</f>
        <v>26</v>
      </c>
      <c r="K16" s="39">
        <f t="shared" si="26"/>
        <v>1733333</v>
      </c>
      <c r="L16" s="90">
        <f>ROUND(F16,0)*15000</f>
        <v>390000</v>
      </c>
      <c r="M16" s="40">
        <f t="shared" ref="M16:M18" si="27">K16+L16</f>
        <v>2123333</v>
      </c>
      <c r="N16" s="40">
        <f>IF(VLOOKUP(B16,DS,9,0)="x",'L - 12'!E16*$N$4,0)</f>
        <v>0</v>
      </c>
      <c r="O16" s="40">
        <f t="shared" ref="O16:O18" si="28">IF(VLOOKUP(B16,DS,9,0)="x",E16*0.015,0)</f>
        <v>0</v>
      </c>
      <c r="P16" s="40">
        <f t="shared" ref="P16:P18" si="29">IF(VLOOKUP(B16,DS,9,0)="x",E16*0.01,0)</f>
        <v>0</v>
      </c>
      <c r="Q16" s="39">
        <f>M16-SUM(N16:P16)</f>
        <v>2123333</v>
      </c>
      <c r="R16" s="39">
        <f t="shared" ref="R16:R18" si="30">VLOOKUP(B16,DS,23,0)</f>
        <v>0</v>
      </c>
      <c r="S16" s="45">
        <f>Q16-R16</f>
        <v>2123333</v>
      </c>
      <c r="T16" s="39"/>
      <c r="U16" s="104"/>
      <c r="V16" s="138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163</v>
      </c>
      <c r="C17" s="89" t="str">
        <f t="shared" si="21"/>
        <v>Huỳnh Thanh Tùng</v>
      </c>
      <c r="D17" s="116" t="str">
        <f t="shared" si="22"/>
        <v>Thợ đóng - xả</v>
      </c>
      <c r="E17" s="90">
        <f t="shared" si="23"/>
        <v>1800000</v>
      </c>
      <c r="F17" s="92">
        <f>VLOOKUP(B17,'CC -12'!$B$8:$AS$21,36,0)</f>
        <v>26</v>
      </c>
      <c r="G17" s="145">
        <f t="shared" si="24"/>
        <v>1733333</v>
      </c>
      <c r="H17" s="92">
        <f>(VLOOKUP(B17,'CC -12'!$B$8:$AS$21,37,0)+VLOOKUP(B17,'CC -12'!$B$8:$AS$21,38,0))</f>
        <v>0</v>
      </c>
      <c r="I17" s="145">
        <f t="shared" si="25"/>
        <v>0</v>
      </c>
      <c r="J17" s="146">
        <f t="shared" si="26"/>
        <v>26</v>
      </c>
      <c r="K17" s="39">
        <f t="shared" si="26"/>
        <v>1733333</v>
      </c>
      <c r="L17" s="90">
        <f t="shared" ref="L17:L18" si="31">ROUND(F17,0)*15000</f>
        <v>390000</v>
      </c>
      <c r="M17" s="40">
        <f t="shared" si="27"/>
        <v>2123333</v>
      </c>
      <c r="N17" s="40">
        <f>IF(VLOOKUP(B17,DS,9,0)="x",'L - 12'!E17*$N$4,0)</f>
        <v>0</v>
      </c>
      <c r="O17" s="40">
        <f t="shared" si="28"/>
        <v>0</v>
      </c>
      <c r="P17" s="40">
        <f t="shared" si="29"/>
        <v>0</v>
      </c>
      <c r="Q17" s="39">
        <f t="shared" ref="Q17:Q18" si="32">M17-SUM(N17:P17)</f>
        <v>2123333</v>
      </c>
      <c r="R17" s="39">
        <f t="shared" si="30"/>
        <v>0</v>
      </c>
      <c r="S17" s="45">
        <f t="shared" ref="S17:S18" si="33">Q17-R17</f>
        <v>2123333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164</v>
      </c>
      <c r="C18" s="89" t="str">
        <f t="shared" si="21"/>
        <v>Danh Sà Phép</v>
      </c>
      <c r="D18" s="116" t="str">
        <f t="shared" si="22"/>
        <v>Công nhân</v>
      </c>
      <c r="E18" s="90">
        <f t="shared" si="23"/>
        <v>1500000</v>
      </c>
      <c r="F18" s="92">
        <f>VLOOKUP(B18,'CC -12'!$B$8:$AS$21,36,0)</f>
        <v>26</v>
      </c>
      <c r="G18" s="145">
        <f t="shared" si="24"/>
        <v>1444444</v>
      </c>
      <c r="H18" s="92">
        <f>(VLOOKUP(B18,'CC -12'!$B$8:$AS$21,37,0)+VLOOKUP(B18,'CC -12'!$B$8:$AS$21,38,0))</f>
        <v>0</v>
      </c>
      <c r="I18" s="145">
        <f t="shared" si="25"/>
        <v>0</v>
      </c>
      <c r="J18" s="146">
        <f t="shared" si="26"/>
        <v>26</v>
      </c>
      <c r="K18" s="39">
        <f t="shared" si="26"/>
        <v>1444444</v>
      </c>
      <c r="L18" s="90">
        <f t="shared" si="31"/>
        <v>390000</v>
      </c>
      <c r="M18" s="40">
        <f t="shared" si="27"/>
        <v>1834444</v>
      </c>
      <c r="N18" s="40">
        <f>IF(VLOOKUP(B18,DS,9,0)="x",'L - 12'!E18*$N$4,0)</f>
        <v>0</v>
      </c>
      <c r="O18" s="40">
        <f t="shared" si="28"/>
        <v>0</v>
      </c>
      <c r="P18" s="40">
        <f t="shared" si="29"/>
        <v>0</v>
      </c>
      <c r="Q18" s="39">
        <f t="shared" si="32"/>
        <v>1834444</v>
      </c>
      <c r="R18" s="39">
        <f t="shared" si="30"/>
        <v>0</v>
      </c>
      <c r="S18" s="45">
        <f t="shared" si="33"/>
        <v>1834444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76" t="s">
        <v>25</v>
      </c>
      <c r="B20" s="276"/>
      <c r="C20" s="276"/>
      <c r="D20" s="276"/>
      <c r="E20" s="140">
        <f>SUM(E15:E19)</f>
        <v>5100000</v>
      </c>
      <c r="F20" s="140"/>
      <c r="G20" s="140">
        <f>SUM(G15:G19)</f>
        <v>4911110</v>
      </c>
      <c r="H20" s="140"/>
      <c r="I20" s="140">
        <f>SUM(I15:I19)</f>
        <v>0</v>
      </c>
      <c r="J20" s="140"/>
      <c r="K20" s="140">
        <f t="shared" ref="K20:S20" si="34">SUM(K15:K19)</f>
        <v>4911110</v>
      </c>
      <c r="L20" s="140">
        <f t="shared" si="34"/>
        <v>1170000</v>
      </c>
      <c r="M20" s="140">
        <f t="shared" si="34"/>
        <v>6081110</v>
      </c>
      <c r="N20" s="140">
        <f t="shared" si="34"/>
        <v>0</v>
      </c>
      <c r="O20" s="140">
        <f t="shared" si="34"/>
        <v>0</v>
      </c>
      <c r="P20" s="140">
        <f t="shared" si="34"/>
        <v>0</v>
      </c>
      <c r="Q20" s="140">
        <f t="shared" si="34"/>
        <v>6081110</v>
      </c>
      <c r="R20" s="140">
        <f t="shared" si="34"/>
        <v>0</v>
      </c>
      <c r="S20" s="140">
        <f t="shared" si="34"/>
        <v>6081110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12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E5:I6 D20 N5:P6 L5 L23 J6:K7 L7 A26:T59 U32:U59 N19:S19 V26:IK59 J19:L19 A60:IK65327 AF15:IK15 V14:IK14 D14 AF5:IK13 W10:W13 Q10:S13 A10:B14" name="Range1"/>
    <protectedRange password="CC78" sqref="F7:H7" name="Range1_4"/>
    <protectedRange password="CC78" sqref="V23:IK24 S23:T24 N23:Q24 E23:I24" name="Range1_1_1"/>
    <protectedRange password="CC78" sqref="U1 W1:IK3 V4:IK4 B4:T4 R2:S3 B1:Q3 U19:U31 X15:AE15 X5:AE13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Q16:S18 A16:B18 AF16:IK18 W16:W18" name="Range1_5"/>
    <protectedRange password="CC78" sqref="X16:AE18 U16:U18" name="Range1_2_3"/>
    <protectedRange password="CC78" sqref="V16:V18" name="Range1_1_3"/>
    <protectedRange password="CC78" sqref="K16:K18 K10:K13" name="Range1_6"/>
    <protectedRange password="CC78" sqref="A2:A3" name="Range1_2_1_3"/>
    <protectedRange password="CC78" sqref="E14:T14" name="Range1_3"/>
    <protectedRange password="CC78" sqref="E20:T20" name="Range1_7"/>
  </protectedRanges>
  <autoFilter ref="A7:AE10"/>
  <mergeCells count="24">
    <mergeCell ref="A14:D14"/>
    <mergeCell ref="A20:D20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9</vt:i4>
      </vt:variant>
    </vt:vector>
  </HeadingPairs>
  <TitlesOfParts>
    <vt:vector size="26" baseType="lpstr">
      <vt:lpstr>TH</vt:lpstr>
      <vt:lpstr>CC -5</vt:lpstr>
      <vt:lpstr>L - 5</vt:lpstr>
      <vt:lpstr>CC -6</vt:lpstr>
      <vt:lpstr>L - 6</vt:lpstr>
      <vt:lpstr>CC -7</vt:lpstr>
      <vt:lpstr>L - 7</vt:lpstr>
      <vt:lpstr>CC - 8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  <vt:lpstr>'CC - 8'!Print_Area</vt:lpstr>
      <vt:lpstr>'CC -10'!Print_Area</vt:lpstr>
      <vt:lpstr>'CC -11'!Print_Area</vt:lpstr>
      <vt:lpstr>'CC -12'!Print_Area</vt:lpstr>
      <vt:lpstr>'CC -5'!Print_Area</vt:lpstr>
      <vt:lpstr>'CC -6'!Print_Area</vt:lpstr>
      <vt:lpstr>'CC -7'!Print_Area</vt:lpstr>
      <vt:lpstr>'CC -9'!Print_Area</vt:lpstr>
    </vt:vector>
  </TitlesOfParts>
  <Company>HP-COMPUTER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User 1</cp:lastModifiedBy>
  <cp:lastPrinted>2017-03-30T02:57:32Z</cp:lastPrinted>
  <dcterms:created xsi:type="dcterms:W3CDTF">2011-06-27T04:19:15Z</dcterms:created>
  <dcterms:modified xsi:type="dcterms:W3CDTF">2017-05-12T06:55:09Z</dcterms:modified>
</cp:coreProperties>
</file>