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510" windowWidth="15150" windowHeight="8280" tabRatio="930" activeTab="6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2" hidden="1">'L - 1'!$A$7:$AC$9</definedName>
    <definedName name="_xlnm._FilterDatabase" localSheetId="4" hidden="1">'L - 2'!$A$7:$AC$10</definedName>
    <definedName name="_xlnm._FilterDatabase" localSheetId="6" hidden="1">'L - 3'!$A$7:$AC$10</definedName>
    <definedName name="_xlnm._FilterDatabase" localSheetId="0" hidden="1">TH!$A$9:$AL$14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0" hidden="1">{#N/A,#N/A,FALSE,"Chi tiÆt"}</definedName>
    <definedName name="dh" hidden="1">{#N/A,#N/A,FALSE,"Chi tiÆt"}</definedName>
    <definedName name="DS">TH!$B$10:$AJ$19</definedName>
    <definedName name="DS_01">'L - 1'!$B$9:$R$18</definedName>
    <definedName name="DS_02">'L - 2'!$B$9:$R$17</definedName>
    <definedName name="DS_03">'L - 3'!$B$9:$R$19</definedName>
    <definedName name="DS_04">#REF!</definedName>
    <definedName name="DS_05">#REF!</definedName>
    <definedName name="DS_06">#REF!</definedName>
    <definedName name="DS_07">#REF!</definedName>
    <definedName name="DS_08">#REF!</definedName>
    <definedName name="DS_09">#REF!</definedName>
    <definedName name="DS_10">#REF!</definedName>
    <definedName name="DS_11">#REF!</definedName>
    <definedName name="DS_12">#REF!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-1'!$A$1:$AS$39</definedName>
    <definedName name="_xlnm.Print_Area" localSheetId="3">'CC -2'!$A$1:$AQ$37</definedName>
    <definedName name="_xlnm.Print_Area" localSheetId="5">'CC -3'!$A$1:$AS$41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  <fileRecoveryPr repairLoad="1"/>
</workbook>
</file>

<file path=xl/calcChain.xml><?xml version="1.0" encoding="utf-8"?>
<calcChain xmlns="http://schemas.openxmlformats.org/spreadsheetml/2006/main">
  <c r="H17" i="52" l="1"/>
  <c r="F17" i="52"/>
  <c r="E17" i="52"/>
  <c r="L17" i="52" s="1"/>
  <c r="D17" i="52"/>
  <c r="C17" i="52"/>
  <c r="AM16" i="51"/>
  <c r="AL16" i="51"/>
  <c r="AK16" i="51"/>
  <c r="D16" i="51"/>
  <c r="C16" i="51"/>
  <c r="A12" i="15"/>
  <c r="A13" i="15"/>
  <c r="A14" i="15"/>
  <c r="A15" i="15"/>
  <c r="AG13" i="15"/>
  <c r="AE13" i="15"/>
  <c r="AC13" i="15"/>
  <c r="AA13" i="15"/>
  <c r="Y13" i="15"/>
  <c r="W13" i="15"/>
  <c r="U13" i="15"/>
  <c r="S13" i="15"/>
  <c r="Q13" i="15"/>
  <c r="N17" i="52" l="1"/>
  <c r="J17" i="52"/>
  <c r="M17" i="52"/>
  <c r="AN16" i="51"/>
  <c r="AG16" i="15"/>
  <c r="AE16" i="15"/>
  <c r="AC16" i="15"/>
  <c r="AA16" i="15"/>
  <c r="Y16" i="15"/>
  <c r="W16" i="15"/>
  <c r="U16" i="15"/>
  <c r="S16" i="15"/>
  <c r="Q16" i="15"/>
  <c r="O16" i="15"/>
  <c r="M16" i="15"/>
  <c r="K16" i="15"/>
  <c r="AG15" i="15"/>
  <c r="AE15" i="15"/>
  <c r="AC15" i="15"/>
  <c r="AA15" i="15"/>
  <c r="Y15" i="15"/>
  <c r="W15" i="15"/>
  <c r="U15" i="15"/>
  <c r="S15" i="15"/>
  <c r="Q15" i="15"/>
  <c r="M15" i="15"/>
  <c r="K15" i="15"/>
  <c r="E11" i="52"/>
  <c r="N11" i="52" s="1"/>
  <c r="D11" i="52"/>
  <c r="C11" i="52"/>
  <c r="AL11" i="51"/>
  <c r="D11" i="51"/>
  <c r="C11" i="51"/>
  <c r="E11" i="50"/>
  <c r="M11" i="50" s="1"/>
  <c r="D11" i="50"/>
  <c r="C11" i="50"/>
  <c r="AJ11" i="49"/>
  <c r="D11" i="49"/>
  <c r="C11" i="49"/>
  <c r="AL11" i="47"/>
  <c r="D11" i="47"/>
  <c r="C11" i="47"/>
  <c r="C12" i="48"/>
  <c r="D12" i="48"/>
  <c r="E12" i="48"/>
  <c r="M12" i="48" s="1"/>
  <c r="L11" i="52" l="1"/>
  <c r="M11" i="52"/>
  <c r="L11" i="50"/>
  <c r="L12" i="48"/>
  <c r="N11" i="50"/>
  <c r="N12" i="48"/>
  <c r="A11" i="15" l="1"/>
  <c r="A10" i="15"/>
  <c r="AF18" i="15" a="1"/>
  <c r="AF18" i="15" s="1"/>
  <c r="AD18" i="15" a="1"/>
  <c r="AD18" i="15" s="1"/>
  <c r="AB18" i="15" a="1"/>
  <c r="AB18" i="15" s="1"/>
  <c r="Z18" i="15" a="1"/>
  <c r="Z18" i="15" s="1"/>
  <c r="X18" i="15" a="1"/>
  <c r="X18" i="15" s="1"/>
  <c r="V18" i="15" a="1"/>
  <c r="V18" i="15" s="1"/>
  <c r="T18" i="15" a="1"/>
  <c r="T18" i="15" s="1"/>
  <c r="R18" i="15" a="1"/>
  <c r="R18" i="15" s="1"/>
  <c r="P18" i="15" a="1"/>
  <c r="P18" i="15" s="1"/>
  <c r="N18" i="15" a="1"/>
  <c r="N18" i="15" s="1"/>
  <c r="L18" i="15" a="1"/>
  <c r="L18" i="15" s="1"/>
  <c r="K17" i="15"/>
  <c r="AG17" i="15"/>
  <c r="M17" i="15"/>
  <c r="O17" i="15"/>
  <c r="Q17" i="15"/>
  <c r="S17" i="15"/>
  <c r="U17" i="15"/>
  <c r="W17" i="15"/>
  <c r="Y17" i="15"/>
  <c r="AA17" i="15"/>
  <c r="AC17" i="15"/>
  <c r="AE17" i="15"/>
  <c r="AH17" i="15" l="1"/>
  <c r="AH16" i="15"/>
  <c r="C12" i="52" l="1"/>
  <c r="D12" i="52"/>
  <c r="E12" i="52"/>
  <c r="AL13" i="51"/>
  <c r="D13" i="51"/>
  <c r="C13" i="51"/>
  <c r="E16" i="48"/>
  <c r="D16" i="48"/>
  <c r="C16" i="48"/>
  <c r="AL13" i="47"/>
  <c r="D13" i="47"/>
  <c r="C13" i="47"/>
  <c r="C11" i="48"/>
  <c r="D11" i="48"/>
  <c r="E11" i="48"/>
  <c r="L12" i="52" l="1"/>
  <c r="M12" i="52"/>
  <c r="N12" i="52"/>
  <c r="N11" i="48"/>
  <c r="L11" i="48"/>
  <c r="M11" i="48"/>
  <c r="N16" i="48"/>
  <c r="M16" i="48"/>
  <c r="L16" i="48"/>
  <c r="AL18" i="51"/>
  <c r="D18" i="51"/>
  <c r="C18" i="51"/>
  <c r="P19" i="52"/>
  <c r="E16" i="52"/>
  <c r="D16" i="52"/>
  <c r="C16" i="52"/>
  <c r="E10" i="52"/>
  <c r="D10" i="52"/>
  <c r="C10" i="52"/>
  <c r="E4" i="52"/>
  <c r="Q21" i="52" s="1"/>
  <c r="AL9" i="51"/>
  <c r="D9" i="51"/>
  <c r="C9" i="51"/>
  <c r="F5" i="51"/>
  <c r="F6" i="51" s="1"/>
  <c r="S1" i="51"/>
  <c r="E15" i="50"/>
  <c r="D15" i="50"/>
  <c r="C15" i="50"/>
  <c r="E10" i="50"/>
  <c r="D10" i="50"/>
  <c r="C10" i="50"/>
  <c r="E4" i="50"/>
  <c r="Q19" i="50" s="1"/>
  <c r="AJ14" i="49"/>
  <c r="D14" i="49"/>
  <c r="C14" i="49"/>
  <c r="AJ9" i="49"/>
  <c r="D9" i="49"/>
  <c r="C9" i="49"/>
  <c r="F5" i="49"/>
  <c r="F6" i="49" s="1"/>
  <c r="S1" i="49"/>
  <c r="E10" i="48"/>
  <c r="D10" i="48"/>
  <c r="C10" i="48"/>
  <c r="E4" i="48"/>
  <c r="Q20" i="48" s="1"/>
  <c r="AL16" i="47"/>
  <c r="D16" i="47"/>
  <c r="C16" i="47"/>
  <c r="AL9" i="47"/>
  <c r="D9" i="47"/>
  <c r="C9" i="47"/>
  <c r="F5" i="47"/>
  <c r="F6" i="47" s="1"/>
  <c r="S1" i="47"/>
  <c r="E19" i="52" l="1"/>
  <c r="N16" i="52"/>
  <c r="N19" i="52" s="1"/>
  <c r="M16" i="52"/>
  <c r="M19" i="52" s="1"/>
  <c r="L16" i="52"/>
  <c r="N10" i="52"/>
  <c r="N14" i="52" s="1"/>
  <c r="L10" i="52"/>
  <c r="L14" i="52" s="1"/>
  <c r="M10" i="52"/>
  <c r="M14" i="52" s="1"/>
  <c r="L15" i="50"/>
  <c r="L17" i="50" s="1"/>
  <c r="N15" i="50"/>
  <c r="N17" i="50" s="1"/>
  <c r="M15" i="50"/>
  <c r="M17" i="50" s="1"/>
  <c r="M10" i="50"/>
  <c r="M13" i="50" s="1"/>
  <c r="N10" i="50"/>
  <c r="N13" i="50" s="1"/>
  <c r="L10" i="50"/>
  <c r="L13" i="50" s="1"/>
  <c r="E14" i="48"/>
  <c r="L10" i="48"/>
  <c r="L14" i="48" s="1"/>
  <c r="M10" i="48"/>
  <c r="M14" i="48" s="1"/>
  <c r="N10" i="48"/>
  <c r="N14" i="48" s="1"/>
  <c r="E18" i="48"/>
  <c r="E17" i="50"/>
  <c r="P17" i="50"/>
  <c r="D1" i="50"/>
  <c r="D1" i="52"/>
  <c r="D1" i="48"/>
  <c r="L19" i="52"/>
  <c r="G5" i="51"/>
  <c r="E14" i="52"/>
  <c r="N18" i="48"/>
  <c r="L18" i="48"/>
  <c r="G5" i="49"/>
  <c r="E13" i="50"/>
  <c r="M18" i="48"/>
  <c r="G5" i="47"/>
  <c r="G6" i="51" l="1"/>
  <c r="H5" i="51"/>
  <c r="G6" i="49"/>
  <c r="H5" i="49"/>
  <c r="H5" i="47"/>
  <c r="G6" i="47"/>
  <c r="I5" i="51" l="1"/>
  <c r="H6" i="51"/>
  <c r="I5" i="49"/>
  <c r="H6" i="49"/>
  <c r="I5" i="47"/>
  <c r="H6" i="47"/>
  <c r="J5" i="51" l="1"/>
  <c r="I6" i="51"/>
  <c r="J5" i="49"/>
  <c r="I6" i="49"/>
  <c r="I6" i="47"/>
  <c r="J5" i="47"/>
  <c r="J6" i="51" l="1"/>
  <c r="K5" i="51"/>
  <c r="J6" i="49"/>
  <c r="K5" i="49"/>
  <c r="J6" i="47"/>
  <c r="K5" i="47"/>
  <c r="K6" i="51" l="1"/>
  <c r="L5" i="51"/>
  <c r="K6" i="49"/>
  <c r="L5" i="49"/>
  <c r="L5" i="47"/>
  <c r="K6" i="47"/>
  <c r="A16" i="15"/>
  <c r="M5" i="51" l="1"/>
  <c r="L6" i="51"/>
  <c r="M5" i="49"/>
  <c r="L6" i="49"/>
  <c r="M5" i="47"/>
  <c r="L6" i="47"/>
  <c r="N5" i="51" l="1"/>
  <c r="M6" i="51"/>
  <c r="M6" i="49"/>
  <c r="N5" i="49"/>
  <c r="N5" i="47"/>
  <c r="M6" i="47"/>
  <c r="N6" i="51" l="1"/>
  <c r="O5" i="51"/>
  <c r="N6" i="49"/>
  <c r="O5" i="49"/>
  <c r="N6" i="47"/>
  <c r="O5" i="47"/>
  <c r="F17" i="15"/>
  <c r="O6" i="51" l="1"/>
  <c r="P5" i="51"/>
  <c r="O6" i="49"/>
  <c r="P5" i="49"/>
  <c r="P5" i="47"/>
  <c r="O6" i="47"/>
  <c r="Q5" i="51" l="1"/>
  <c r="P6" i="51"/>
  <c r="Q5" i="49"/>
  <c r="P6" i="49"/>
  <c r="Q5" i="47"/>
  <c r="P6" i="47"/>
  <c r="R5" i="51" l="1"/>
  <c r="Q6" i="51"/>
  <c r="R5" i="49"/>
  <c r="Q6" i="49"/>
  <c r="R5" i="47"/>
  <c r="Q6" i="47"/>
  <c r="J18" i="15" a="1"/>
  <c r="J18" i="15" s="1"/>
  <c r="R6" i="51" l="1"/>
  <c r="S5" i="51"/>
  <c r="R6" i="49"/>
  <c r="S5" i="49"/>
  <c r="R6" i="47"/>
  <c r="S5" i="47"/>
  <c r="S6" i="51" l="1"/>
  <c r="T5" i="51"/>
  <c r="S6" i="49"/>
  <c r="T5" i="49"/>
  <c r="S6" i="47"/>
  <c r="T5" i="47"/>
  <c r="U5" i="51" l="1"/>
  <c r="T6" i="51"/>
  <c r="U5" i="49"/>
  <c r="T6" i="49"/>
  <c r="U5" i="47"/>
  <c r="T6" i="47"/>
  <c r="E17" i="15"/>
  <c r="V5" i="51" l="1"/>
  <c r="U6" i="51"/>
  <c r="V5" i="49"/>
  <c r="U6" i="49"/>
  <c r="U6" i="47"/>
  <c r="V5" i="47"/>
  <c r="V6" i="51" l="1"/>
  <c r="W5" i="51"/>
  <c r="V6" i="49"/>
  <c r="W5" i="49"/>
  <c r="V6" i="47"/>
  <c r="W5" i="47"/>
  <c r="W6" i="51" l="1"/>
  <c r="X5" i="51"/>
  <c r="W6" i="49"/>
  <c r="X5" i="49"/>
  <c r="X5" i="47"/>
  <c r="W6" i="47"/>
  <c r="Y5" i="51" l="1"/>
  <c r="X6" i="51"/>
  <c r="Y5" i="49"/>
  <c r="X6" i="49"/>
  <c r="Y5" i="47"/>
  <c r="X6" i="47"/>
  <c r="Z5" i="51" l="1"/>
  <c r="Y6" i="51"/>
  <c r="Z5" i="49"/>
  <c r="Y6" i="49"/>
  <c r="Y6" i="47"/>
  <c r="Z5" i="47"/>
  <c r="Z6" i="51" l="1"/>
  <c r="AA5" i="51"/>
  <c r="Z6" i="49"/>
  <c r="AA5" i="49"/>
  <c r="Z6" i="47"/>
  <c r="AA5" i="47"/>
  <c r="AA6" i="51" l="1"/>
  <c r="AB5" i="51"/>
  <c r="AA6" i="49"/>
  <c r="AB5" i="49"/>
  <c r="AB5" i="47"/>
  <c r="AA6" i="47"/>
  <c r="AC5" i="51" l="1"/>
  <c r="AB6" i="51"/>
  <c r="AC5" i="49"/>
  <c r="AB6" i="49"/>
  <c r="AC5" i="47"/>
  <c r="AB6" i="47"/>
  <c r="AD5" i="51" l="1"/>
  <c r="AC6" i="51"/>
  <c r="AD5" i="49"/>
  <c r="AC6" i="49"/>
  <c r="AD5" i="47"/>
  <c r="AC6" i="47"/>
  <c r="AD6" i="51" l="1"/>
  <c r="AE5" i="51"/>
  <c r="AD6" i="49"/>
  <c r="AE5" i="49"/>
  <c r="AD6" i="47"/>
  <c r="AE5" i="47"/>
  <c r="AE6" i="51" l="1"/>
  <c r="AF5" i="51"/>
  <c r="AE6" i="49"/>
  <c r="AF5" i="49"/>
  <c r="AF5" i="47"/>
  <c r="AE6" i="47"/>
  <c r="AG5" i="51" l="1"/>
  <c r="AF6" i="51"/>
  <c r="AG5" i="49"/>
  <c r="AF6" i="49"/>
  <c r="AG5" i="47"/>
  <c r="AF6" i="47"/>
  <c r="AH5" i="51" l="1"/>
  <c r="AG6" i="51"/>
  <c r="AH5" i="49"/>
  <c r="AG6" i="49"/>
  <c r="AH5" i="47"/>
  <c r="AG6" i="47"/>
  <c r="AH6" i="51" l="1"/>
  <c r="AI5" i="51"/>
  <c r="AH6" i="49"/>
  <c r="AH6" i="47"/>
  <c r="AI5" i="47"/>
  <c r="AK11" i="49" l="1"/>
  <c r="H11" i="50" s="1"/>
  <c r="AI11" i="49"/>
  <c r="F11" i="50" s="1"/>
  <c r="AI6" i="51"/>
  <c r="AJ5" i="51"/>
  <c r="AJ6" i="51" s="1"/>
  <c r="AJ5" i="47"/>
  <c r="AJ6" i="47" s="1"/>
  <c r="AI6" i="47"/>
  <c r="AK11" i="47" l="1"/>
  <c r="AM11" i="47"/>
  <c r="J11" i="50"/>
  <c r="AM11" i="51"/>
  <c r="H11" i="52" s="1"/>
  <c r="AK11" i="51"/>
  <c r="AL11" i="49"/>
  <c r="AM13" i="51"/>
  <c r="H12" i="52" s="1"/>
  <c r="AK13" i="51"/>
  <c r="AK13" i="47"/>
  <c r="F12" i="48" s="1"/>
  <c r="AM13" i="47"/>
  <c r="H12" i="48" s="1"/>
  <c r="AM18" i="51"/>
  <c r="AK18" i="51"/>
  <c r="AM9" i="51"/>
  <c r="H10" i="52" s="1"/>
  <c r="AK9" i="51"/>
  <c r="AK9" i="49"/>
  <c r="AI9" i="49"/>
  <c r="AI14" i="49"/>
  <c r="F15" i="50" s="1"/>
  <c r="AK14" i="49"/>
  <c r="H15" i="50" s="1"/>
  <c r="AK9" i="47"/>
  <c r="F10" i="48" s="1"/>
  <c r="AM16" i="47"/>
  <c r="H16" i="48" s="1"/>
  <c r="AM9" i="47"/>
  <c r="F11" i="48"/>
  <c r="AK16" i="47"/>
  <c r="AN11" i="51" l="1"/>
  <c r="F11" i="52"/>
  <c r="J11" i="52" s="1"/>
  <c r="AN11" i="47"/>
  <c r="J12" i="48"/>
  <c r="F12" i="52"/>
  <c r="AN13" i="51"/>
  <c r="AN13" i="47"/>
  <c r="F16" i="48"/>
  <c r="H11" i="48"/>
  <c r="J11" i="48" s="1"/>
  <c r="AN18" i="51"/>
  <c r="H10" i="50"/>
  <c r="F10" i="50"/>
  <c r="H16" i="52"/>
  <c r="H10" i="48"/>
  <c r="F16" i="52"/>
  <c r="AN9" i="51"/>
  <c r="F10" i="52"/>
  <c r="AL14" i="49"/>
  <c r="AL9" i="49"/>
  <c r="AN16" i="47"/>
  <c r="AN9" i="47"/>
  <c r="J12" i="52" l="1"/>
  <c r="J16" i="48"/>
  <c r="S2" i="50"/>
  <c r="S2" i="48"/>
  <c r="S2" i="52"/>
  <c r="J10" i="52"/>
  <c r="J16" i="52"/>
  <c r="J10" i="50"/>
  <c r="J15" i="50"/>
  <c r="J10" i="48"/>
  <c r="I17" i="52" l="1"/>
  <c r="G17" i="52"/>
  <c r="G11" i="52"/>
  <c r="I11" i="52"/>
  <c r="G11" i="50"/>
  <c r="I11" i="50"/>
  <c r="I12" i="48"/>
  <c r="G12" i="48"/>
  <c r="I12" i="52"/>
  <c r="G12" i="52"/>
  <c r="G16" i="48"/>
  <c r="I16" i="48"/>
  <c r="I11" i="48"/>
  <c r="G11" i="48"/>
  <c r="G15" i="50"/>
  <c r="G10" i="50"/>
  <c r="I10" i="50"/>
  <c r="I15" i="50"/>
  <c r="G10" i="48"/>
  <c r="I10" i="48"/>
  <c r="G10" i="52"/>
  <c r="G16" i="52"/>
  <c r="I10" i="52"/>
  <c r="I16" i="52"/>
  <c r="K17" i="52" l="1"/>
  <c r="O17" i="52" s="1"/>
  <c r="Q17" i="52" s="1"/>
  <c r="O15" i="15" s="1"/>
  <c r="AH15" i="15" s="1"/>
  <c r="K11" i="52"/>
  <c r="O11" i="52" s="1"/>
  <c r="K11" i="50"/>
  <c r="O11" i="50" s="1"/>
  <c r="K12" i="48"/>
  <c r="G14" i="48"/>
  <c r="I14" i="48"/>
  <c r="K16" i="48"/>
  <c r="K12" i="52"/>
  <c r="O12" i="52" s="1"/>
  <c r="K11" i="48"/>
  <c r="K10" i="50"/>
  <c r="O10" i="50" s="1"/>
  <c r="K10" i="48"/>
  <c r="O10" i="48" s="1"/>
  <c r="G17" i="50"/>
  <c r="K15" i="50"/>
  <c r="O15" i="50" s="1"/>
  <c r="G19" i="52"/>
  <c r="I13" i="50"/>
  <c r="I17" i="50"/>
  <c r="G13" i="50"/>
  <c r="K10" i="52"/>
  <c r="O10" i="52" s="1"/>
  <c r="G18" i="48"/>
  <c r="I18" i="48"/>
  <c r="G14" i="52"/>
  <c r="K16" i="52"/>
  <c r="O16" i="52" s="1"/>
  <c r="I14" i="52"/>
  <c r="I19" i="52"/>
  <c r="Q12" i="15" l="1"/>
  <c r="Q11" i="50"/>
  <c r="M11" i="15" s="1"/>
  <c r="Q11" i="52"/>
  <c r="O11" i="15" s="1"/>
  <c r="Q12" i="52"/>
  <c r="Q11" i="15"/>
  <c r="O16" i="48"/>
  <c r="Q16" i="48" s="1"/>
  <c r="K14" i="15" s="1"/>
  <c r="O12" i="48"/>
  <c r="Q12" i="48" s="1"/>
  <c r="O11" i="48"/>
  <c r="Q11" i="48" s="1"/>
  <c r="K11" i="15" s="1"/>
  <c r="K14" i="48"/>
  <c r="K13" i="50"/>
  <c r="K17" i="50"/>
  <c r="K14" i="52"/>
  <c r="K18" i="48"/>
  <c r="K19" i="52"/>
  <c r="K12" i="15" l="1"/>
  <c r="K13" i="15"/>
  <c r="M12" i="15"/>
  <c r="M13" i="15"/>
  <c r="O12" i="15"/>
  <c r="O13" i="15"/>
  <c r="Q10" i="48"/>
  <c r="K10" i="15" s="1"/>
  <c r="Q14" i="15"/>
  <c r="O14" i="52"/>
  <c r="Q10" i="52"/>
  <c r="O10" i="15" s="1"/>
  <c r="O19" i="52"/>
  <c r="Q16" i="52"/>
  <c r="O14" i="15" s="1"/>
  <c r="O17" i="50"/>
  <c r="Q15" i="50"/>
  <c r="M14" i="15" s="1"/>
  <c r="O13" i="50"/>
  <c r="Q10" i="50"/>
  <c r="M10" i="15" s="1"/>
  <c r="O18" i="48"/>
  <c r="AH13" i="15" l="1"/>
  <c r="AG12" i="15"/>
  <c r="AE11" i="15"/>
  <c r="Q14" i="48"/>
  <c r="AE12" i="15"/>
  <c r="AC11" i="15"/>
  <c r="AG11" i="15"/>
  <c r="AC12" i="15"/>
  <c r="Q19" i="52"/>
  <c r="Q14" i="52"/>
  <c r="Q17" i="50"/>
  <c r="Q13" i="50"/>
  <c r="Q18" i="48"/>
  <c r="O14" i="48"/>
  <c r="Q10" i="15"/>
  <c r="AA11" i="15" l="1"/>
  <c r="AA12" i="15"/>
  <c r="O19" i="15"/>
  <c r="Q19" i="15"/>
  <c r="M19" i="15"/>
  <c r="AG14" i="15"/>
  <c r="AG10" i="15"/>
  <c r="AE10" i="15"/>
  <c r="AE14" i="15"/>
  <c r="AC10" i="15"/>
  <c r="AC14" i="15"/>
  <c r="W12" i="15" l="1"/>
  <c r="W11" i="15"/>
  <c r="Y11" i="15"/>
  <c r="Y12" i="15"/>
  <c r="K19" i="15"/>
  <c r="AA10" i="15"/>
  <c r="AA14" i="15"/>
  <c r="AG19" i="15" l="1"/>
  <c r="AE19" i="15"/>
  <c r="AC19" i="15"/>
  <c r="Y10" i="15"/>
  <c r="Y14" i="15"/>
  <c r="W10" i="15"/>
  <c r="W14" i="15"/>
  <c r="U12" i="15" l="1"/>
  <c r="U11" i="15"/>
  <c r="AA19" i="15"/>
  <c r="Y19" i="15" l="1"/>
  <c r="U10" i="15"/>
  <c r="U14" i="15" l="1"/>
  <c r="W19" i="15"/>
  <c r="S12" i="15" l="1"/>
  <c r="S11" i="15"/>
  <c r="AH11" i="15" l="1"/>
  <c r="S10" i="15" l="1"/>
  <c r="S14" i="15"/>
  <c r="AH12" i="15" l="1"/>
  <c r="AH14" i="15"/>
  <c r="U19" i="15"/>
  <c r="S19" i="15" l="1"/>
  <c r="AH19" i="15" s="1"/>
  <c r="AH10" i="15"/>
</calcChain>
</file>

<file path=xl/sharedStrings.xml><?xml version="1.0" encoding="utf-8"?>
<sst xmlns="http://schemas.openxmlformats.org/spreadsheetml/2006/main" count="371" uniqueCount="108">
  <si>
    <t>Ghi chú</t>
  </si>
  <si>
    <t>Họ và Tên</t>
  </si>
  <si>
    <t>Chức Vụ</t>
  </si>
  <si>
    <t>Mã NV</t>
  </si>
  <si>
    <t>Thu nhập theo ngày công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</si>
  <si>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</si>
  <si>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</si>
  <si>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</si>
  <si>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</si>
  <si>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</si>
  <si>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</si>
  <si>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</si>
  <si>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</si>
  <si>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</si>
  <si>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</si>
  <si>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</si>
  <si>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</si>
  <si>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</si>
  <si>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</si>
  <si>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</si>
  <si>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</si>
  <si>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</si>
  <si>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</si>
  <si>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</si>
  <si>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</si>
  <si>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</si>
  <si>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</si>
  <si>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</si>
  <si>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</si>
  <si>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</si>
  <si>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BHTN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</si>
  <si>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</si>
  <si>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</si>
  <si>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</si>
  <si>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</si>
  <si>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</si>
  <si>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</si>
  <si>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</si>
  <si>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</si>
  <si>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</si>
  <si>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</si>
  <si>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</si>
  <si>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</si>
  <si>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</si>
  <si>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</si>
  <si>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</si>
  <si>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</si>
  <si>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</si>
  <si>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</si>
  <si>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</si>
  <si>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</si>
  <si>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</si>
  <si>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</si>
  <si>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</si>
  <si>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</si>
  <si>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</si>
  <si>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</si>
  <si>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</si>
  <si>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</si>
  <si>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</si>
  <si>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</si>
  <si>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</si>
  <si>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</si>
  <si>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</si>
  <si>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</si>
  <si>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</si>
  <si>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</si>
  <si>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</si>
  <si>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</si>
  <si>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</si>
  <si>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</si>
  <si>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</si>
  <si>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</si>
  <si>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</si>
  <si>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</si>
  <si>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BP: Quản lý :</t>
  </si>
  <si>
    <t>BP: Quản lý &amp; CN Trực Tiếp SX</t>
  </si>
  <si>
    <t>BP: Quản lý:</t>
  </si>
  <si>
    <t>Thông tin cá nhân</t>
  </si>
  <si>
    <t>MST</t>
  </si>
  <si>
    <t>CMND</t>
  </si>
  <si>
    <t>TL</t>
  </si>
  <si>
    <t>BH</t>
  </si>
  <si>
    <t>Tổng TL</t>
  </si>
  <si>
    <t>TQL-BHXH</t>
  </si>
  <si>
    <t>Nguyễn Phước Bảo Việt Hùng</t>
  </si>
  <si>
    <t>Kinh Doanh</t>
  </si>
  <si>
    <t>Mai Thị Hường</t>
  </si>
  <si>
    <t>Kế Toán</t>
  </si>
  <si>
    <t>Đào Quảng Ninh</t>
  </si>
  <si>
    <t>Giao Hàng</t>
  </si>
  <si>
    <t>Thạch Huy Chạch</t>
  </si>
  <si>
    <t>Công nhân</t>
  </si>
  <si>
    <t>QL03</t>
  </si>
  <si>
    <t>x</t>
  </si>
  <si>
    <t>Công Ty TNHH Một Thành Viên Khởi Nguyên An</t>
  </si>
  <si>
    <t>MST:3702076037 (Ngày DKT ban đầu: 24/07/2012)</t>
  </si>
  <si>
    <t xml:space="preserve">Địa chỉ: Thửa đất số 144, tờ bản đồ số 12TĐH.1, tổ 1, khu phố Đông Tá - PhườngTân Đông Hiệp - TX Dĩ An - Bình Dương
</t>
  </si>
  <si>
    <t>191322620</t>
  </si>
  <si>
    <t>241191354</t>
  </si>
  <si>
    <t>334713260</t>
  </si>
  <si>
    <t>8009869021</t>
  </si>
  <si>
    <t>172088136</t>
  </si>
  <si>
    <t>CN02</t>
  </si>
  <si>
    <t>Võ Ngọc Thúy Hằng</t>
  </si>
  <si>
    <t>Nguyễn Thị Thúy Hằng</t>
  </si>
  <si>
    <t>QL04</t>
  </si>
  <si>
    <t>Trưởng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</si>
</sst>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57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22" fillId="30" borderId="0" xfId="0" applyFont="1" applyFill="1" applyAlignment="1">
      <alignment horizontal="left" vertical="center"/>
    </xf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15" fillId="0" borderId="2" xfId="0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38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20"/>
  <sheetViews>
    <sheetView workbookViewId="0">
      <selection activeCell="E14" sqref="E14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10.85546875" customWidth="1"/>
    <col min="7" max="8" width="9.7109375" customWidth="1"/>
    <col min="9" max="9" width="10.5703125" customWidth="1"/>
    <col min="10" max="10" width="5.140625" customWidth="1"/>
    <col min="11" max="11" width="10.5703125" customWidth="1"/>
    <col min="12" max="12" width="5.14062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193" t="s">
        <v>95</v>
      </c>
      <c r="E1" s="37"/>
      <c r="F1" s="24"/>
      <c r="G1" s="24"/>
      <c r="H1" s="24"/>
      <c r="AI1" s="37"/>
      <c r="AJ1" s="37"/>
      <c r="AK1" s="37"/>
      <c r="AL1" s="37"/>
    </row>
    <row r="2" spans="1:38" s="2" customFormat="1">
      <c r="A2" s="194" t="s">
        <v>97</v>
      </c>
      <c r="E2" s="37"/>
      <c r="F2" s="24"/>
      <c r="G2" s="24"/>
      <c r="H2" s="24"/>
      <c r="AI2" s="37"/>
      <c r="AJ2" s="37"/>
      <c r="AK2" s="37"/>
      <c r="AL2" s="37"/>
    </row>
    <row r="3" spans="1:38" s="2" customFormat="1">
      <c r="A3" s="192"/>
      <c r="B3" s="93"/>
      <c r="E3" s="37"/>
      <c r="F3" s="24"/>
      <c r="G3" s="24"/>
      <c r="H3" s="24"/>
      <c r="AI3" s="37"/>
      <c r="AJ3" s="37"/>
      <c r="AK3" s="37"/>
      <c r="AL3" s="37"/>
    </row>
    <row r="4" spans="1:38" s="2" customFormat="1" ht="23.25" customHeight="1"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 t="s">
        <v>31</v>
      </c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37"/>
      <c r="AL4" s="37"/>
    </row>
    <row r="5" spans="1:38" s="2" customFormat="1" ht="23.25" customHeight="1"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 t="s">
        <v>96</v>
      </c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37"/>
      <c r="AL5" s="37"/>
    </row>
    <row r="6" spans="1:38" s="109" customFormat="1" ht="19.5" customHeight="1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8"/>
      <c r="AL6" s="108"/>
    </row>
    <row r="7" spans="1:38" s="1" customFormat="1" ht="20.25" customHeight="1">
      <c r="A7" s="208" t="s">
        <v>18</v>
      </c>
      <c r="B7" s="208" t="s">
        <v>3</v>
      </c>
      <c r="C7" s="208" t="s">
        <v>1</v>
      </c>
      <c r="D7" s="208" t="s">
        <v>2</v>
      </c>
      <c r="E7" s="211" t="s">
        <v>48</v>
      </c>
      <c r="F7" s="211"/>
      <c r="G7" s="200" t="s">
        <v>78</v>
      </c>
      <c r="H7" s="212"/>
      <c r="I7" s="201"/>
      <c r="J7" s="200" t="s">
        <v>52</v>
      </c>
      <c r="K7" s="201"/>
      <c r="L7" s="200" t="s">
        <v>53</v>
      </c>
      <c r="M7" s="201"/>
      <c r="N7" s="200" t="s">
        <v>54</v>
      </c>
      <c r="O7" s="201"/>
      <c r="P7" s="200" t="s">
        <v>55</v>
      </c>
      <c r="Q7" s="201"/>
      <c r="R7" s="200" t="s">
        <v>56</v>
      </c>
      <c r="S7" s="201"/>
      <c r="T7" s="200" t="s">
        <v>57</v>
      </c>
      <c r="U7" s="201"/>
      <c r="V7" s="200" t="s">
        <v>58</v>
      </c>
      <c r="W7" s="201"/>
      <c r="X7" s="200" t="s">
        <v>59</v>
      </c>
      <c r="Y7" s="201"/>
      <c r="Z7" s="200" t="s">
        <v>60</v>
      </c>
      <c r="AA7" s="201"/>
      <c r="AB7" s="200" t="s">
        <v>61</v>
      </c>
      <c r="AC7" s="201"/>
      <c r="AD7" s="200" t="s">
        <v>62</v>
      </c>
      <c r="AE7" s="201"/>
      <c r="AF7" s="200" t="s">
        <v>63</v>
      </c>
      <c r="AG7" s="201"/>
      <c r="AH7" s="209" t="s">
        <v>83</v>
      </c>
      <c r="AI7" s="209" t="s">
        <v>21</v>
      </c>
      <c r="AJ7" s="209" t="s">
        <v>10</v>
      </c>
      <c r="AK7" s="91"/>
      <c r="AL7" s="91"/>
    </row>
    <row r="8" spans="1:38" s="1" customFormat="1" ht="20.25" customHeight="1">
      <c r="A8" s="208"/>
      <c r="B8" s="208"/>
      <c r="C8" s="208"/>
      <c r="D8" s="208"/>
      <c r="E8" s="150" t="s">
        <v>70</v>
      </c>
      <c r="F8" s="150">
        <v>2015</v>
      </c>
      <c r="G8" s="187" t="s">
        <v>79</v>
      </c>
      <c r="H8" s="187" t="s">
        <v>80</v>
      </c>
      <c r="I8" s="187"/>
      <c r="J8" s="149" t="s">
        <v>82</v>
      </c>
      <c r="K8" s="187" t="s">
        <v>81</v>
      </c>
      <c r="L8" s="187" t="s">
        <v>82</v>
      </c>
      <c r="M8" s="187" t="s">
        <v>81</v>
      </c>
      <c r="N8" s="187" t="s">
        <v>82</v>
      </c>
      <c r="O8" s="187" t="s">
        <v>81</v>
      </c>
      <c r="P8" s="187" t="s">
        <v>82</v>
      </c>
      <c r="Q8" s="187" t="s">
        <v>81</v>
      </c>
      <c r="R8" s="187" t="s">
        <v>82</v>
      </c>
      <c r="S8" s="187" t="s">
        <v>81</v>
      </c>
      <c r="T8" s="187" t="s">
        <v>82</v>
      </c>
      <c r="U8" s="187" t="s">
        <v>81</v>
      </c>
      <c r="V8" s="187" t="s">
        <v>82</v>
      </c>
      <c r="W8" s="187" t="s">
        <v>81</v>
      </c>
      <c r="X8" s="187" t="s">
        <v>82</v>
      </c>
      <c r="Y8" s="187" t="s">
        <v>81</v>
      </c>
      <c r="Z8" s="187" t="s">
        <v>82</v>
      </c>
      <c r="AA8" s="187" t="s">
        <v>81</v>
      </c>
      <c r="AB8" s="187" t="s">
        <v>82</v>
      </c>
      <c r="AC8" s="187" t="s">
        <v>81</v>
      </c>
      <c r="AD8" s="187" t="s">
        <v>82</v>
      </c>
      <c r="AE8" s="187" t="s">
        <v>81</v>
      </c>
      <c r="AF8" s="187" t="s">
        <v>82</v>
      </c>
      <c r="AG8" s="187" t="s">
        <v>81</v>
      </c>
      <c r="AH8" s="210"/>
      <c r="AI8" s="210"/>
      <c r="AJ8" s="210"/>
      <c r="AK8" s="91"/>
      <c r="AL8" s="91"/>
    </row>
    <row r="9" spans="1:38" s="2" customFormat="1" ht="14.25" customHeight="1">
      <c r="A9" s="111">
        <v>1</v>
      </c>
      <c r="B9" s="111">
        <v>1</v>
      </c>
      <c r="C9" s="111">
        <v>2</v>
      </c>
      <c r="D9" s="111">
        <v>3</v>
      </c>
      <c r="E9" s="111">
        <v>4</v>
      </c>
      <c r="F9" s="111">
        <v>5</v>
      </c>
      <c r="G9" s="111">
        <v>6</v>
      </c>
      <c r="H9" s="111">
        <v>7</v>
      </c>
      <c r="I9" s="111">
        <v>8</v>
      </c>
      <c r="J9" s="111">
        <v>9</v>
      </c>
      <c r="K9" s="111">
        <v>10</v>
      </c>
      <c r="L9" s="111">
        <v>11</v>
      </c>
      <c r="M9" s="111">
        <v>12</v>
      </c>
      <c r="N9" s="111">
        <v>13</v>
      </c>
      <c r="O9" s="111">
        <v>14</v>
      </c>
      <c r="P9" s="111">
        <v>15</v>
      </c>
      <c r="Q9" s="111">
        <v>16</v>
      </c>
      <c r="R9" s="111">
        <v>17</v>
      </c>
      <c r="S9" s="111">
        <v>18</v>
      </c>
      <c r="T9" s="111">
        <v>19</v>
      </c>
      <c r="U9" s="111">
        <v>20</v>
      </c>
      <c r="V9" s="111">
        <v>21</v>
      </c>
      <c r="W9" s="111">
        <v>22</v>
      </c>
      <c r="X9" s="111">
        <v>23</v>
      </c>
      <c r="Y9" s="111">
        <v>24</v>
      </c>
      <c r="Z9" s="111">
        <v>25</v>
      </c>
      <c r="AA9" s="111">
        <v>26</v>
      </c>
      <c r="AB9" s="111">
        <v>27</v>
      </c>
      <c r="AC9" s="111">
        <v>28</v>
      </c>
      <c r="AD9" s="111">
        <v>29</v>
      </c>
      <c r="AE9" s="111">
        <v>30</v>
      </c>
      <c r="AF9" s="111">
        <v>31</v>
      </c>
      <c r="AG9" s="111">
        <v>32</v>
      </c>
      <c r="AH9" s="111">
        <v>33</v>
      </c>
      <c r="AI9" s="111">
        <v>34</v>
      </c>
      <c r="AJ9" s="111">
        <v>35</v>
      </c>
      <c r="AK9" s="37"/>
      <c r="AL9" s="37"/>
    </row>
    <row r="10" spans="1:38" s="140" customFormat="1" ht="21.75" customHeight="1">
      <c r="A10" s="137">
        <f t="shared" ref="A10:A15" si="0">IF(B10&lt;&gt;"",ROW()-9,"")</f>
        <v>1</v>
      </c>
      <c r="B10" s="137" t="s">
        <v>72</v>
      </c>
      <c r="C10" s="198" t="s">
        <v>85</v>
      </c>
      <c r="D10" s="137" t="s">
        <v>86</v>
      </c>
      <c r="E10" s="166">
        <v>4012500</v>
      </c>
      <c r="F10" s="166"/>
      <c r="G10" s="189"/>
      <c r="H10" s="190" t="s">
        <v>98</v>
      </c>
      <c r="I10" s="133"/>
      <c r="J10" s="133" t="s">
        <v>94</v>
      </c>
      <c r="K10" s="133">
        <f t="shared" ref="K10:K16" si="1">IF(ISNA(VLOOKUP($B10,DS_01,16,0)),0,VLOOKUP($B10,DS_01,16,0))</f>
        <v>3591187.5</v>
      </c>
      <c r="L10" s="133" t="s">
        <v>94</v>
      </c>
      <c r="M10" s="133">
        <f t="shared" ref="M10:M16" si="2">IF(ISNA(VLOOKUP($B10,DS_02,16,0)),0,VLOOKUP($B10,DS_02,16,0))</f>
        <v>3591187.5</v>
      </c>
      <c r="N10" s="133" t="s">
        <v>94</v>
      </c>
      <c r="O10" s="133">
        <f t="shared" ref="O10:O16" si="3">IF(ISNA(VLOOKUP($B10,DS_03,16,0)),0,VLOOKUP($B10,DS_03,16,0))</f>
        <v>3591187.5</v>
      </c>
      <c r="P10" s="133"/>
      <c r="Q10" s="133" t="e">
        <f t="shared" ref="Q10:Q16" si="4">IF(ISNA(VLOOKUP($B10,DS_04,16,0)),0,VLOOKUP($B10,DS_04,16,0))</f>
        <v>#REF!</v>
      </c>
      <c r="R10" s="133" t="s">
        <v>94</v>
      </c>
      <c r="S10" s="133" t="e">
        <f t="shared" ref="S10:S16" si="5">IF(ISNA(VLOOKUP($B10,DS_05,16,0)),0,VLOOKUP($B10,DS_05,16,0))</f>
        <v>#REF!</v>
      </c>
      <c r="T10" s="133" t="s">
        <v>94</v>
      </c>
      <c r="U10" s="133" t="e">
        <f t="shared" ref="U10:U16" si="6">IF(ISNA(VLOOKUP($B10,DS_06,16,0)),0,VLOOKUP($B10,DS_06,16,0))</f>
        <v>#REF!</v>
      </c>
      <c r="V10" s="133" t="s">
        <v>94</v>
      </c>
      <c r="W10" s="133" t="e">
        <f t="shared" ref="W10:W16" si="7">IF(ISNA(VLOOKUP($B10,DS_07,16,0)),0,VLOOKUP($B10,DS_07,16,0))</f>
        <v>#REF!</v>
      </c>
      <c r="X10" s="133" t="s">
        <v>94</v>
      </c>
      <c r="Y10" s="133" t="e">
        <f t="shared" ref="Y10:Y16" si="8">IF(ISNA(VLOOKUP($B10,DS_08,16,0)),0,VLOOKUP($B10,DS_08,16,0))</f>
        <v>#REF!</v>
      </c>
      <c r="Z10" s="133" t="s">
        <v>94</v>
      </c>
      <c r="AA10" s="133" t="e">
        <f t="shared" ref="AA10:AA16" si="9">IF(ISNA(VLOOKUP($B10,DS_09,16,0)),0,VLOOKUP($B10,DS_09,16,0))</f>
        <v>#REF!</v>
      </c>
      <c r="AB10" s="133" t="s">
        <v>94</v>
      </c>
      <c r="AC10" s="133" t="e">
        <f t="shared" ref="AC10:AC16" si="10">IF(ISNA(VLOOKUP($B10,DS_10,16,0)),0,VLOOKUP($B10,DS_10,16,0))</f>
        <v>#REF!</v>
      </c>
      <c r="AD10" s="133" t="s">
        <v>94</v>
      </c>
      <c r="AE10" s="133" t="e">
        <f t="shared" ref="AE10:AE16" si="11">IF(ISNA(VLOOKUP($B10,DS_11,16,0)),0,VLOOKUP($B10,DS_11,16,0))</f>
        <v>#REF!</v>
      </c>
      <c r="AF10" s="133" t="s">
        <v>94</v>
      </c>
      <c r="AG10" s="133" t="e">
        <f t="shared" ref="AG10:AG16" si="12">IF(ISNA(VLOOKUP($B10,DS_12,16,0)),0,VLOOKUP($B10,DS_12,16,0))</f>
        <v>#REF!</v>
      </c>
      <c r="AH10" s="133" t="e">
        <f t="shared" ref="AH10:AH15" si="13">K10+M10+O10+Q10+S10+U10+W10+Y10+AA10+AC10+AE10+AG10</f>
        <v>#REF!</v>
      </c>
      <c r="AI10" s="133"/>
      <c r="AJ10" s="133"/>
      <c r="AK10" s="138"/>
      <c r="AL10" s="139"/>
    </row>
    <row r="11" spans="1:38" s="140" customFormat="1" ht="21.75" customHeight="1">
      <c r="A11" s="137">
        <f t="shared" si="0"/>
        <v>2</v>
      </c>
      <c r="B11" s="137" t="s">
        <v>73</v>
      </c>
      <c r="C11" s="198" t="s">
        <v>87</v>
      </c>
      <c r="D11" s="137" t="s">
        <v>88</v>
      </c>
      <c r="E11" s="166">
        <v>4012500</v>
      </c>
      <c r="F11" s="166"/>
      <c r="G11" s="190"/>
      <c r="H11" s="191" t="s">
        <v>99</v>
      </c>
      <c r="I11" s="133"/>
      <c r="J11" s="133" t="s">
        <v>94</v>
      </c>
      <c r="K11" s="133">
        <f t="shared" si="1"/>
        <v>3591187.5</v>
      </c>
      <c r="L11" s="133" t="s">
        <v>94</v>
      </c>
      <c r="M11" s="133">
        <f t="shared" si="2"/>
        <v>3591187.5</v>
      </c>
      <c r="N11" s="133" t="s">
        <v>94</v>
      </c>
      <c r="O11" s="133">
        <f t="shared" si="3"/>
        <v>3591187.5</v>
      </c>
      <c r="P11" s="133"/>
      <c r="Q11" s="133" t="e">
        <f t="shared" si="4"/>
        <v>#REF!</v>
      </c>
      <c r="R11" s="133" t="s">
        <v>94</v>
      </c>
      <c r="S11" s="133" t="e">
        <f t="shared" si="5"/>
        <v>#REF!</v>
      </c>
      <c r="T11" s="133" t="s">
        <v>94</v>
      </c>
      <c r="U11" s="133" t="e">
        <f t="shared" si="6"/>
        <v>#REF!</v>
      </c>
      <c r="V11" s="133" t="s">
        <v>94</v>
      </c>
      <c r="W11" s="133" t="e">
        <f t="shared" si="7"/>
        <v>#REF!</v>
      </c>
      <c r="X11" s="133" t="s">
        <v>94</v>
      </c>
      <c r="Y11" s="133" t="e">
        <f t="shared" si="8"/>
        <v>#REF!</v>
      </c>
      <c r="Z11" s="133" t="s">
        <v>94</v>
      </c>
      <c r="AA11" s="133" t="e">
        <f t="shared" si="9"/>
        <v>#REF!</v>
      </c>
      <c r="AB11" s="133" t="s">
        <v>94</v>
      </c>
      <c r="AC11" s="133" t="e">
        <f t="shared" si="10"/>
        <v>#REF!</v>
      </c>
      <c r="AD11" s="133" t="s">
        <v>94</v>
      </c>
      <c r="AE11" s="133" t="e">
        <f t="shared" si="11"/>
        <v>#REF!</v>
      </c>
      <c r="AF11" s="133" t="s">
        <v>94</v>
      </c>
      <c r="AG11" s="133" t="e">
        <f t="shared" si="12"/>
        <v>#REF!</v>
      </c>
      <c r="AH11" s="133" t="e">
        <f t="shared" si="13"/>
        <v>#REF!</v>
      </c>
      <c r="AI11" s="133"/>
      <c r="AJ11" s="133"/>
      <c r="AK11" s="138"/>
      <c r="AL11" s="139"/>
    </row>
    <row r="12" spans="1:38" s="140" customFormat="1" ht="21.75" customHeight="1">
      <c r="A12" s="137">
        <f t="shared" si="0"/>
        <v>3</v>
      </c>
      <c r="B12" s="137" t="s">
        <v>93</v>
      </c>
      <c r="C12" s="198" t="s">
        <v>89</v>
      </c>
      <c r="D12" s="137" t="s">
        <v>90</v>
      </c>
      <c r="E12" s="145">
        <v>3937000</v>
      </c>
      <c r="F12" s="133"/>
      <c r="G12" s="190" t="s">
        <v>101</v>
      </c>
      <c r="H12" s="190" t="s">
        <v>102</v>
      </c>
      <c r="I12" s="133"/>
      <c r="J12" s="133" t="s">
        <v>94</v>
      </c>
      <c r="K12" s="133">
        <f t="shared" si="1"/>
        <v>3523615</v>
      </c>
      <c r="L12" s="133"/>
      <c r="M12" s="133">
        <f t="shared" si="2"/>
        <v>0</v>
      </c>
      <c r="N12" s="133"/>
      <c r="O12" s="133">
        <f t="shared" si="3"/>
        <v>0</v>
      </c>
      <c r="P12" s="133"/>
      <c r="Q12" s="133" t="e">
        <f t="shared" si="4"/>
        <v>#REF!</v>
      </c>
      <c r="R12" s="133" t="s">
        <v>94</v>
      </c>
      <c r="S12" s="133" t="e">
        <f t="shared" si="5"/>
        <v>#REF!</v>
      </c>
      <c r="T12" s="133" t="s">
        <v>94</v>
      </c>
      <c r="U12" s="133" t="e">
        <f t="shared" si="6"/>
        <v>#REF!</v>
      </c>
      <c r="V12" s="133" t="s">
        <v>94</v>
      </c>
      <c r="W12" s="133" t="e">
        <f t="shared" si="7"/>
        <v>#REF!</v>
      </c>
      <c r="X12" s="133" t="s">
        <v>94</v>
      </c>
      <c r="Y12" s="133" t="e">
        <f t="shared" si="8"/>
        <v>#REF!</v>
      </c>
      <c r="Z12" s="133" t="s">
        <v>94</v>
      </c>
      <c r="AA12" s="133" t="e">
        <f t="shared" si="9"/>
        <v>#REF!</v>
      </c>
      <c r="AB12" s="133" t="s">
        <v>94</v>
      </c>
      <c r="AC12" s="133" t="e">
        <f t="shared" si="10"/>
        <v>#REF!</v>
      </c>
      <c r="AD12" s="133" t="s">
        <v>94</v>
      </c>
      <c r="AE12" s="133" t="e">
        <f t="shared" si="11"/>
        <v>#REF!</v>
      </c>
      <c r="AF12" s="133" t="s">
        <v>94</v>
      </c>
      <c r="AG12" s="133" t="e">
        <f t="shared" si="12"/>
        <v>#REF!</v>
      </c>
      <c r="AH12" s="133" t="e">
        <f t="shared" si="13"/>
        <v>#REF!</v>
      </c>
      <c r="AI12" s="133"/>
      <c r="AJ12" s="133"/>
      <c r="AK12" s="138"/>
      <c r="AL12" s="139"/>
    </row>
    <row r="13" spans="1:38" s="140" customFormat="1" ht="21.75" customHeight="1">
      <c r="A13" s="137">
        <f t="shared" si="0"/>
        <v>4</v>
      </c>
      <c r="B13" s="137" t="s">
        <v>106</v>
      </c>
      <c r="C13" s="198" t="s">
        <v>105</v>
      </c>
      <c r="D13" s="137" t="s">
        <v>107</v>
      </c>
      <c r="E13" s="133">
        <v>7875000</v>
      </c>
      <c r="F13" s="133"/>
      <c r="G13" s="190"/>
      <c r="H13" s="190"/>
      <c r="I13" s="133"/>
      <c r="J13" s="133"/>
      <c r="K13" s="133">
        <f t="shared" si="1"/>
        <v>0</v>
      </c>
      <c r="L13" s="133"/>
      <c r="M13" s="133">
        <f t="shared" si="2"/>
        <v>0</v>
      </c>
      <c r="N13" s="133" t="s">
        <v>94</v>
      </c>
      <c r="O13" s="133">
        <f t="shared" si="3"/>
        <v>7048125</v>
      </c>
      <c r="P13" s="133"/>
      <c r="Q13" s="133" t="e">
        <f t="shared" si="4"/>
        <v>#REF!</v>
      </c>
      <c r="R13" s="133" t="s">
        <v>94</v>
      </c>
      <c r="S13" s="133" t="e">
        <f t="shared" si="5"/>
        <v>#REF!</v>
      </c>
      <c r="T13" s="133" t="s">
        <v>94</v>
      </c>
      <c r="U13" s="133" t="e">
        <f t="shared" si="6"/>
        <v>#REF!</v>
      </c>
      <c r="V13" s="133" t="s">
        <v>94</v>
      </c>
      <c r="W13" s="133" t="e">
        <f t="shared" si="7"/>
        <v>#REF!</v>
      </c>
      <c r="X13" s="133" t="s">
        <v>94</v>
      </c>
      <c r="Y13" s="133" t="e">
        <f t="shared" si="8"/>
        <v>#REF!</v>
      </c>
      <c r="Z13" s="133" t="s">
        <v>94</v>
      </c>
      <c r="AA13" s="133" t="e">
        <f t="shared" si="9"/>
        <v>#REF!</v>
      </c>
      <c r="AB13" s="133" t="s">
        <v>94</v>
      </c>
      <c r="AC13" s="133" t="e">
        <f t="shared" si="10"/>
        <v>#REF!</v>
      </c>
      <c r="AD13" s="133" t="s">
        <v>94</v>
      </c>
      <c r="AE13" s="133" t="e">
        <f t="shared" si="11"/>
        <v>#REF!</v>
      </c>
      <c r="AF13" s="133" t="s">
        <v>94</v>
      </c>
      <c r="AG13" s="133" t="e">
        <f t="shared" si="12"/>
        <v>#REF!</v>
      </c>
      <c r="AH13" s="133" t="e">
        <f>K13+M13+O13+Q13+S13+U13+W13+Y13+AA13+AC13+AE13+AG13</f>
        <v>#REF!</v>
      </c>
      <c r="AI13" s="133"/>
      <c r="AJ13" s="133"/>
      <c r="AK13" s="138"/>
      <c r="AL13" s="139"/>
    </row>
    <row r="14" spans="1:38" s="148" customFormat="1" ht="21.75" customHeight="1">
      <c r="A14" s="137">
        <f t="shared" si="0"/>
        <v>5</v>
      </c>
      <c r="B14" s="143" t="s">
        <v>74</v>
      </c>
      <c r="C14" s="144" t="s">
        <v>91</v>
      </c>
      <c r="D14" s="142" t="s">
        <v>92</v>
      </c>
      <c r="E14" s="145">
        <v>3937000</v>
      </c>
      <c r="F14" s="145"/>
      <c r="G14" s="191"/>
      <c r="H14" s="191" t="s">
        <v>100</v>
      </c>
      <c r="I14" s="145"/>
      <c r="J14" s="133" t="s">
        <v>94</v>
      </c>
      <c r="K14" s="133">
        <f t="shared" si="1"/>
        <v>3523615</v>
      </c>
      <c r="L14" s="145" t="s">
        <v>94</v>
      </c>
      <c r="M14" s="133">
        <f t="shared" si="2"/>
        <v>3523615</v>
      </c>
      <c r="N14" s="133" t="s">
        <v>94</v>
      </c>
      <c r="O14" s="133">
        <f t="shared" si="3"/>
        <v>3523615</v>
      </c>
      <c r="P14" s="145"/>
      <c r="Q14" s="133" t="e">
        <f t="shared" si="4"/>
        <v>#REF!</v>
      </c>
      <c r="R14" s="133" t="s">
        <v>94</v>
      </c>
      <c r="S14" s="133" t="e">
        <f t="shared" si="5"/>
        <v>#REF!</v>
      </c>
      <c r="T14" s="133" t="s">
        <v>94</v>
      </c>
      <c r="U14" s="133" t="e">
        <f t="shared" si="6"/>
        <v>#REF!</v>
      </c>
      <c r="V14" s="133" t="s">
        <v>94</v>
      </c>
      <c r="W14" s="133" t="e">
        <f t="shared" si="7"/>
        <v>#REF!</v>
      </c>
      <c r="X14" s="133" t="s">
        <v>94</v>
      </c>
      <c r="Y14" s="133" t="e">
        <f t="shared" si="8"/>
        <v>#REF!</v>
      </c>
      <c r="Z14" s="133" t="s">
        <v>94</v>
      </c>
      <c r="AA14" s="133" t="e">
        <f t="shared" si="9"/>
        <v>#REF!</v>
      </c>
      <c r="AB14" s="133" t="s">
        <v>94</v>
      </c>
      <c r="AC14" s="133" t="e">
        <f t="shared" si="10"/>
        <v>#REF!</v>
      </c>
      <c r="AD14" s="133" t="s">
        <v>94</v>
      </c>
      <c r="AE14" s="133" t="e">
        <f t="shared" si="11"/>
        <v>#REF!</v>
      </c>
      <c r="AF14" s="133" t="s">
        <v>94</v>
      </c>
      <c r="AG14" s="133" t="e">
        <f t="shared" si="12"/>
        <v>#REF!</v>
      </c>
      <c r="AH14" s="133" t="e">
        <f t="shared" si="13"/>
        <v>#REF!</v>
      </c>
      <c r="AI14" s="145"/>
      <c r="AJ14" s="145"/>
      <c r="AK14" s="146"/>
      <c r="AL14" s="147"/>
    </row>
    <row r="15" spans="1:38" s="2" customFormat="1" ht="21.75" customHeight="1">
      <c r="A15" s="137">
        <f t="shared" si="0"/>
        <v>6</v>
      </c>
      <c r="B15" s="143" t="s">
        <v>103</v>
      </c>
      <c r="C15" s="38" t="s">
        <v>104</v>
      </c>
      <c r="D15" s="142" t="s">
        <v>92</v>
      </c>
      <c r="E15" s="145">
        <v>3937000</v>
      </c>
      <c r="F15" s="17"/>
      <c r="G15" s="17"/>
      <c r="H15" s="17"/>
      <c r="I15" s="17"/>
      <c r="J15" s="17"/>
      <c r="K15" s="133">
        <f t="shared" si="1"/>
        <v>0</v>
      </c>
      <c r="L15" s="17"/>
      <c r="M15" s="133">
        <f t="shared" si="2"/>
        <v>0</v>
      </c>
      <c r="N15" s="133" t="s">
        <v>94</v>
      </c>
      <c r="O15" s="133">
        <f t="shared" si="3"/>
        <v>3523615</v>
      </c>
      <c r="P15" s="17"/>
      <c r="Q15" s="133" t="e">
        <f t="shared" si="4"/>
        <v>#REF!</v>
      </c>
      <c r="R15" s="17"/>
      <c r="S15" s="133" t="e">
        <f t="shared" si="5"/>
        <v>#REF!</v>
      </c>
      <c r="T15" s="17"/>
      <c r="U15" s="133" t="e">
        <f t="shared" si="6"/>
        <v>#REF!</v>
      </c>
      <c r="V15" s="17"/>
      <c r="W15" s="133" t="e">
        <f t="shared" si="7"/>
        <v>#REF!</v>
      </c>
      <c r="X15" s="17"/>
      <c r="Y15" s="133" t="e">
        <f t="shared" si="8"/>
        <v>#REF!</v>
      </c>
      <c r="Z15" s="17"/>
      <c r="AA15" s="133" t="e">
        <f t="shared" si="9"/>
        <v>#REF!</v>
      </c>
      <c r="AB15" s="17"/>
      <c r="AC15" s="133" t="e">
        <f t="shared" si="10"/>
        <v>#REF!</v>
      </c>
      <c r="AD15" s="17"/>
      <c r="AE15" s="133" t="e">
        <f t="shared" si="11"/>
        <v>#REF!</v>
      </c>
      <c r="AF15" s="17"/>
      <c r="AG15" s="133" t="e">
        <f t="shared" si="12"/>
        <v>#REF!</v>
      </c>
      <c r="AH15" s="133" t="e">
        <f t="shared" si="13"/>
        <v>#REF!</v>
      </c>
      <c r="AI15" s="17"/>
      <c r="AJ15" s="17"/>
      <c r="AK15" s="91"/>
      <c r="AL15" s="37"/>
    </row>
    <row r="16" spans="1:38" s="2" customFormat="1" ht="21.75" customHeight="1">
      <c r="A16" s="137" t="str">
        <f>IF(B16&lt;&gt;"",ROW()-10,"")</f>
        <v/>
      </c>
      <c r="B16" s="124"/>
      <c r="C16" s="130"/>
      <c r="D16" s="129"/>
      <c r="E16" s="131"/>
      <c r="F16" s="131"/>
      <c r="G16" s="131"/>
      <c r="H16" s="131"/>
      <c r="I16" s="131"/>
      <c r="J16" s="131"/>
      <c r="K16" s="133">
        <f t="shared" si="1"/>
        <v>0</v>
      </c>
      <c r="L16" s="131"/>
      <c r="M16" s="133">
        <f t="shared" si="2"/>
        <v>0</v>
      </c>
      <c r="N16" s="131"/>
      <c r="O16" s="133">
        <f t="shared" si="3"/>
        <v>0</v>
      </c>
      <c r="P16" s="131"/>
      <c r="Q16" s="133" t="e">
        <f t="shared" si="4"/>
        <v>#REF!</v>
      </c>
      <c r="R16" s="131"/>
      <c r="S16" s="133" t="e">
        <f t="shared" si="5"/>
        <v>#REF!</v>
      </c>
      <c r="T16" s="131"/>
      <c r="U16" s="133" t="e">
        <f t="shared" si="6"/>
        <v>#REF!</v>
      </c>
      <c r="V16" s="131"/>
      <c r="W16" s="133" t="e">
        <f t="shared" si="7"/>
        <v>#REF!</v>
      </c>
      <c r="X16" s="131"/>
      <c r="Y16" s="133" t="e">
        <f t="shared" si="8"/>
        <v>#REF!</v>
      </c>
      <c r="Z16" s="131"/>
      <c r="AA16" s="133" t="e">
        <f t="shared" si="9"/>
        <v>#REF!</v>
      </c>
      <c r="AB16" s="131"/>
      <c r="AC16" s="133" t="e">
        <f t="shared" si="10"/>
        <v>#REF!</v>
      </c>
      <c r="AD16" s="131"/>
      <c r="AE16" s="133" t="e">
        <f t="shared" si="11"/>
        <v>#REF!</v>
      </c>
      <c r="AF16" s="131"/>
      <c r="AG16" s="133" t="e">
        <f t="shared" si="12"/>
        <v>#REF!</v>
      </c>
      <c r="AH16" s="133" t="e">
        <f>K16+M16+O16+Q16+S16+U16+W16+Y16+AA16+AC16+AE16+AG16</f>
        <v>#REF!</v>
      </c>
      <c r="AI16" s="131"/>
      <c r="AJ16" s="131"/>
      <c r="AK16" s="91"/>
      <c r="AL16" s="37"/>
    </row>
    <row r="17" spans="1:38" s="2" customFormat="1" ht="21.75" customHeight="1">
      <c r="A17" s="202" t="s">
        <v>22</v>
      </c>
      <c r="B17" s="203"/>
      <c r="C17" s="203"/>
      <c r="D17" s="134" t="s">
        <v>84</v>
      </c>
      <c r="E17" s="132">
        <f>SUM(E10:E16)</f>
        <v>27711000</v>
      </c>
      <c r="F17" s="132">
        <f>SUM(F10:F16)</f>
        <v>0</v>
      </c>
      <c r="G17" s="132"/>
      <c r="H17" s="132"/>
      <c r="I17" s="132"/>
      <c r="J17" s="132"/>
      <c r="K17" s="132">
        <f>SUMIF(J$10:J$16,"x",$E$10:$E$16)</f>
        <v>15899000</v>
      </c>
      <c r="L17" s="132"/>
      <c r="M17" s="132">
        <f>SUMIF(L$10:L$16,"x",$E$10:$E$16)</f>
        <v>11962000</v>
      </c>
      <c r="N17" s="132"/>
      <c r="O17" s="132">
        <f>SUMIF(N$10:N$16,"x",$E$10:$E$16)</f>
        <v>23774000</v>
      </c>
      <c r="P17" s="132"/>
      <c r="Q17" s="132">
        <f>SUMIF(P$10:P$16,"x",$E$10:$E$16)</f>
        <v>0</v>
      </c>
      <c r="R17" s="132"/>
      <c r="S17" s="132">
        <f>SUMIF(R$10:R$16,"x",$E$10:$E$16)</f>
        <v>23774000</v>
      </c>
      <c r="T17" s="132"/>
      <c r="U17" s="132">
        <f>SUMIF(T$10:T$16,"x",$E$10:$E$16)</f>
        <v>23774000</v>
      </c>
      <c r="V17" s="132"/>
      <c r="W17" s="132">
        <f>SUMIF(V$10:V$16,"x",$E$10:$E$16)</f>
        <v>23774000</v>
      </c>
      <c r="X17" s="132"/>
      <c r="Y17" s="132">
        <f>SUMIF(X$10:X$16,"x",$E$10:$E$16)</f>
        <v>23774000</v>
      </c>
      <c r="Z17" s="132"/>
      <c r="AA17" s="132">
        <f>SUMIF(Z$10:Z$16,"x",$E$10:$E$16)</f>
        <v>23774000</v>
      </c>
      <c r="AB17" s="132"/>
      <c r="AC17" s="132">
        <f>SUMIF(AB$10:AB$16,"x",$E$10:$E$16)</f>
        <v>23774000</v>
      </c>
      <c r="AD17" s="132"/>
      <c r="AE17" s="132">
        <f>SUMIF(AD$10:AD$16,"x",$E$10:$E$16)</f>
        <v>23774000</v>
      </c>
      <c r="AF17" s="132"/>
      <c r="AG17" s="132">
        <f>SUMIF(AF$10:AF$16,"x",$E$10:$E$16)</f>
        <v>23774000</v>
      </c>
      <c r="AH17" s="132">
        <f>K17+M17+O17+Q17+S17+U17+W17+Y17+AA17+AC17+AE17+AG17</f>
        <v>241827000</v>
      </c>
      <c r="AI17" s="132"/>
      <c r="AJ17" s="132"/>
      <c r="AK17" s="91"/>
      <c r="AL17" s="37"/>
    </row>
    <row r="18" spans="1:38" s="2" customFormat="1" ht="21.75" customHeight="1">
      <c r="A18" s="204"/>
      <c r="B18" s="205"/>
      <c r="C18" s="205"/>
      <c r="D18" s="134" t="s">
        <v>64</v>
      </c>
      <c r="E18" s="132"/>
      <c r="F18" s="132"/>
      <c r="G18" s="132"/>
      <c r="H18" s="132"/>
      <c r="I18" s="132"/>
      <c r="J18" s="132">
        <f t="array" ref="J18">SUM((J$10:J$16="x")*1)</f>
        <v>4</v>
      </c>
      <c r="K18" s="132"/>
      <c r="L18" s="132">
        <f t="array" ref="L18">SUM((L$10:L$16="x")*1)</f>
        <v>3</v>
      </c>
      <c r="M18" s="132"/>
      <c r="N18" s="132">
        <f t="array" ref="N18">SUM((N$10:N$16="x")*1)</f>
        <v>5</v>
      </c>
      <c r="O18" s="132"/>
      <c r="P18" s="132">
        <f t="array" ref="P18">SUM((P$10:P$16="x")*1)</f>
        <v>0</v>
      </c>
      <c r="Q18" s="132"/>
      <c r="R18" s="132">
        <f t="array" ref="R18">SUM((R$10:R$16="x")*1)</f>
        <v>5</v>
      </c>
      <c r="S18" s="132"/>
      <c r="T18" s="132">
        <f t="array" ref="T18">SUM((T$10:T$16="x")*1)</f>
        <v>5</v>
      </c>
      <c r="U18" s="132"/>
      <c r="V18" s="132">
        <f t="array" ref="V18">SUM((V$10:V$16="x")*1)</f>
        <v>5</v>
      </c>
      <c r="W18" s="132"/>
      <c r="X18" s="132">
        <f t="array" ref="X18">SUM((X$10:X$16="x")*1)</f>
        <v>5</v>
      </c>
      <c r="Y18" s="132"/>
      <c r="Z18" s="132">
        <f t="array" ref="Z18">SUM((Z$10:Z$16="x")*1)</f>
        <v>5</v>
      </c>
      <c r="AA18" s="132"/>
      <c r="AB18" s="132">
        <f t="array" ref="AB18">SUM((AB$10:AB$16="x")*1)</f>
        <v>5</v>
      </c>
      <c r="AC18" s="132"/>
      <c r="AD18" s="132">
        <f t="array" ref="AD18">SUM((AD$10:AD$16="x")*1)</f>
        <v>5</v>
      </c>
      <c r="AE18" s="132"/>
      <c r="AF18" s="132">
        <f t="array" ref="AF18">SUM((AF$10:AF$16="x")*1)</f>
        <v>5</v>
      </c>
      <c r="AG18" s="132"/>
      <c r="AH18" s="132"/>
      <c r="AI18" s="132"/>
      <c r="AJ18" s="132"/>
      <c r="AK18" s="91"/>
      <c r="AL18" s="37"/>
    </row>
    <row r="19" spans="1:38" s="2" customFormat="1" ht="21.75" customHeight="1">
      <c r="A19" s="206"/>
      <c r="B19" s="207"/>
      <c r="C19" s="207"/>
      <c r="D19" s="134" t="s">
        <v>65</v>
      </c>
      <c r="E19" s="132"/>
      <c r="F19" s="132"/>
      <c r="G19" s="132"/>
      <c r="H19" s="132"/>
      <c r="I19" s="132"/>
      <c r="J19" s="132"/>
      <c r="K19" s="132">
        <f>SUM(K10:K16)</f>
        <v>14229605</v>
      </c>
      <c r="L19" s="132"/>
      <c r="M19" s="132">
        <f>SUM(M10:M16)</f>
        <v>10705990</v>
      </c>
      <c r="N19" s="132"/>
      <c r="O19" s="132">
        <f t="shared" ref="O19:AG19" si="14">SUM(O10:O16)</f>
        <v>21277730</v>
      </c>
      <c r="P19" s="132"/>
      <c r="Q19" s="132" t="e">
        <f t="shared" si="14"/>
        <v>#REF!</v>
      </c>
      <c r="R19" s="132"/>
      <c r="S19" s="132" t="e">
        <f t="shared" si="14"/>
        <v>#REF!</v>
      </c>
      <c r="T19" s="132"/>
      <c r="U19" s="132" t="e">
        <f t="shared" si="14"/>
        <v>#REF!</v>
      </c>
      <c r="V19" s="132"/>
      <c r="W19" s="132" t="e">
        <f t="shared" si="14"/>
        <v>#REF!</v>
      </c>
      <c r="X19" s="132"/>
      <c r="Y19" s="132" t="e">
        <f t="shared" si="14"/>
        <v>#REF!</v>
      </c>
      <c r="Z19" s="132"/>
      <c r="AA19" s="132" t="e">
        <f t="shared" si="14"/>
        <v>#REF!</v>
      </c>
      <c r="AB19" s="132"/>
      <c r="AC19" s="132" t="e">
        <f t="shared" si="14"/>
        <v>#REF!</v>
      </c>
      <c r="AD19" s="132"/>
      <c r="AE19" s="132" t="e">
        <f t="shared" si="14"/>
        <v>#REF!</v>
      </c>
      <c r="AF19" s="132"/>
      <c r="AG19" s="132" t="e">
        <f t="shared" si="14"/>
        <v>#REF!</v>
      </c>
      <c r="AH19" s="132" t="e">
        <f>K19+M19+O19+Q19+S19+U19+W19+Y19+AA19+AC19+AE19+AG19</f>
        <v>#REF!</v>
      </c>
      <c r="AI19" s="132"/>
      <c r="AJ19" s="132"/>
      <c r="AK19" s="91"/>
      <c r="AL19" s="37"/>
    </row>
    <row r="20" spans="1:38" s="2" customFormat="1" ht="11.25" customHeight="1">
      <c r="A20" s="18"/>
      <c r="B20" s="18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37"/>
      <c r="AL20" s="37"/>
    </row>
  </sheetData>
  <protectedRanges>
    <protectedRange password="CC78" sqref="B7:D8 AI7:AI8 J17:AG19 AK7:JS11 F7:H7 C16:H19 C21:JS65164 AI11:AJ11 AH15 B20:B65164 B9:AJ9 L15:L16 P15:P16 P11 AF15:AG16 AH16:JS19 AG11:AH12 AI12:JS12 Q11:S12 AG10:AJ10 T10:AF12 J11:M13 M14:M16 AI14:JS15 Q14:AE16 AF14:AH14 J14:K16 Q13:JS13 A7:A65164 C15 F15:H15 J10:S10 N11:O16" name="Range1"/>
    <protectedRange password="CC78" sqref="O4:JS6 A6:N6 B4:N5" name="Range1_2"/>
    <protectedRange password="CC78" sqref="I7:AH8 I10:I19" name="Range1_3"/>
    <protectedRange password="CC78" sqref="B16:B19" name="Range1_1"/>
    <protectedRange password="CC78" sqref="E7:E8 F8" name="Range1_4"/>
    <protectedRange password="CC78" sqref="AG15:AG16 AE15:AE16 AC15:AC16 Y15:Y16 AA15:AA16 W15:W16 U15:U16 K15:K16 M15:M16 O15:O16 Q15:Q16 S15:S16 J10:AG10 J11:M14 O11:AG14 N11:N15" name="Range1_11"/>
    <protectedRange password="CC78" sqref="B14:B15" name="Range1_6_1"/>
    <protectedRange password="CC78" sqref="F10:F14" name="Range1_8"/>
    <protectedRange password="CC78" sqref="H12:H13" name="Range1_3_2"/>
    <protectedRange password="CC78" sqref="G11:G14" name="Range1_11_1"/>
    <protectedRange password="CC78" sqref="H10" name="Range1_6"/>
    <protectedRange password="CC78" sqref="H10" name="Range1_11_2"/>
    <protectedRange password="CC78" sqref="G10" name="Range1_8_1"/>
    <protectedRange password="CC78" sqref="H14 H11" name="Range1_3_3"/>
    <protectedRange password="CC78" sqref="D10:D15" name="Range1_7_1"/>
    <protectedRange password="CC78" sqref="E10:E15" name="Range1_12_12"/>
  </protectedRanges>
  <autoFilter ref="A9:AL14"/>
  <mergeCells count="22">
    <mergeCell ref="A17:C19"/>
    <mergeCell ref="B7:B8"/>
    <mergeCell ref="A7:A8"/>
    <mergeCell ref="C7:C8"/>
    <mergeCell ref="AJ7:AJ8"/>
    <mergeCell ref="AI7:AI8"/>
    <mergeCell ref="D7:D8"/>
    <mergeCell ref="E7:F7"/>
    <mergeCell ref="G7:I7"/>
    <mergeCell ref="J7:K7"/>
    <mergeCell ref="L7:M7"/>
    <mergeCell ref="AH7:AH8"/>
    <mergeCell ref="N7:O7"/>
    <mergeCell ref="P7:Q7"/>
    <mergeCell ref="R7:S7"/>
    <mergeCell ref="T7:U7"/>
    <mergeCell ref="AF7:AG7"/>
    <mergeCell ref="V7:W7"/>
    <mergeCell ref="X7:Y7"/>
    <mergeCell ref="Z7:AA7"/>
    <mergeCell ref="AB7:AC7"/>
    <mergeCell ref="AD7:AE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AD9" sqref="AD9:AE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8" customWidth="1"/>
    <col min="5" max="5" width="7.140625" style="2" customWidth="1"/>
    <col min="6" max="33" width="3.42578125" style="105" customWidth="1"/>
    <col min="34" max="36" width="3.42578125" style="106" customWidth="1"/>
    <col min="37" max="38" width="4.42578125" style="2" customWidth="1"/>
    <col min="39" max="39" width="5.5703125" style="85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39"/>
      <c r="C1" s="39"/>
      <c r="D1" s="43"/>
      <c r="E1" s="39"/>
      <c r="F1" s="43"/>
      <c r="G1" s="43"/>
      <c r="H1" s="43"/>
      <c r="I1" s="43"/>
      <c r="J1" s="43"/>
      <c r="K1" s="101"/>
      <c r="L1" s="101"/>
      <c r="M1" s="101"/>
      <c r="N1" s="101"/>
      <c r="O1" s="101"/>
      <c r="P1" s="101"/>
      <c r="Q1" s="101"/>
      <c r="R1" s="101"/>
      <c r="S1" s="41" t="str">
        <f>CONCATENATE("BẢNG CHẤM CÔNG THÁNG ",TEXT($E$4,"mm")," NĂM ",TEXT($E$4,"yyyy"))</f>
        <v>BẢNG CHẤM CÔNG THÁNG 01 NĂM 2017</v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40"/>
      <c r="AL1" s="40"/>
      <c r="AM1" s="225" t="s">
        <v>76</v>
      </c>
      <c r="AN1" s="226"/>
      <c r="AO1" s="226"/>
      <c r="AP1" s="226"/>
      <c r="AQ1" s="226"/>
      <c r="AR1" s="226"/>
      <c r="AS1" s="227"/>
      <c r="AT1" s="42"/>
    </row>
    <row r="2" spans="1:91" ht="20.25">
      <c r="A2" s="121"/>
      <c r="B2" s="43"/>
      <c r="C2" s="43"/>
      <c r="D2" s="43"/>
      <c r="E2" s="43"/>
      <c r="F2" s="43"/>
      <c r="G2" s="43"/>
      <c r="H2" s="43"/>
      <c r="I2" s="43"/>
      <c r="J2" s="43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40"/>
      <c r="AL2" s="40"/>
      <c r="AM2" s="81"/>
      <c r="AN2" s="44"/>
      <c r="AO2" s="44"/>
      <c r="AP2" s="44"/>
      <c r="AQ2" s="44"/>
      <c r="AR2" s="44"/>
      <c r="AS2" s="80"/>
      <c r="AT2" s="80"/>
    </row>
    <row r="3" spans="1:91" ht="21" customHeight="1">
      <c r="A3" s="121"/>
      <c r="B3" s="45"/>
      <c r="C3" s="45"/>
      <c r="D3" s="46"/>
      <c r="E3" s="46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40"/>
      <c r="AL3" s="40"/>
      <c r="AM3" s="81"/>
      <c r="AN3" s="42"/>
      <c r="AO3" s="42"/>
      <c r="AP3" s="42"/>
      <c r="AQ3" s="42"/>
      <c r="AR3" s="42"/>
      <c r="AS3" s="47"/>
      <c r="AT3" s="47"/>
    </row>
    <row r="4" spans="1:91" ht="14.25" customHeight="1">
      <c r="A4" s="48"/>
      <c r="B4" s="48"/>
      <c r="C4" s="136"/>
      <c r="D4" s="135"/>
      <c r="E4" s="49">
        <v>42736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1"/>
      <c r="AI4" s="51"/>
      <c r="AJ4" s="51"/>
      <c r="AK4" s="48"/>
      <c r="AL4" s="48"/>
      <c r="AM4" s="82"/>
      <c r="AN4" s="48"/>
      <c r="AO4" s="48"/>
      <c r="AP4" s="48"/>
      <c r="AQ4" s="48"/>
      <c r="AR4" s="48"/>
      <c r="AS4" s="48"/>
      <c r="AT4" s="86"/>
    </row>
    <row r="5" spans="1:91" s="52" customFormat="1" ht="18.75" customHeight="1">
      <c r="A5" s="228" t="s">
        <v>25</v>
      </c>
      <c r="B5" s="228" t="s">
        <v>3</v>
      </c>
      <c r="C5" s="228" t="s">
        <v>1</v>
      </c>
      <c r="D5" s="230" t="s">
        <v>26</v>
      </c>
      <c r="E5" s="228" t="s">
        <v>27</v>
      </c>
      <c r="F5" s="100">
        <f>+E4</f>
        <v>42736</v>
      </c>
      <c r="G5" s="100">
        <f t="shared" ref="G5:AJ5" si="0">F5+1</f>
        <v>42737</v>
      </c>
      <c r="H5" s="100">
        <f t="shared" si="0"/>
        <v>42738</v>
      </c>
      <c r="I5" s="100">
        <f t="shared" si="0"/>
        <v>42739</v>
      </c>
      <c r="J5" s="100">
        <f t="shared" si="0"/>
        <v>42740</v>
      </c>
      <c r="K5" s="100">
        <f t="shared" si="0"/>
        <v>42741</v>
      </c>
      <c r="L5" s="100">
        <f t="shared" si="0"/>
        <v>42742</v>
      </c>
      <c r="M5" s="100">
        <f t="shared" si="0"/>
        <v>42743</v>
      </c>
      <c r="N5" s="100">
        <f t="shared" si="0"/>
        <v>42744</v>
      </c>
      <c r="O5" s="100">
        <f t="shared" si="0"/>
        <v>42745</v>
      </c>
      <c r="P5" s="100">
        <f t="shared" si="0"/>
        <v>42746</v>
      </c>
      <c r="Q5" s="100">
        <f t="shared" si="0"/>
        <v>42747</v>
      </c>
      <c r="R5" s="100">
        <f t="shared" si="0"/>
        <v>42748</v>
      </c>
      <c r="S5" s="100">
        <f t="shared" si="0"/>
        <v>42749</v>
      </c>
      <c r="T5" s="100">
        <f t="shared" si="0"/>
        <v>42750</v>
      </c>
      <c r="U5" s="100">
        <f t="shared" si="0"/>
        <v>42751</v>
      </c>
      <c r="V5" s="100">
        <f t="shared" si="0"/>
        <v>42752</v>
      </c>
      <c r="W5" s="100">
        <f t="shared" si="0"/>
        <v>42753</v>
      </c>
      <c r="X5" s="100">
        <f t="shared" si="0"/>
        <v>42754</v>
      </c>
      <c r="Y5" s="100">
        <f t="shared" si="0"/>
        <v>42755</v>
      </c>
      <c r="Z5" s="100">
        <f t="shared" si="0"/>
        <v>42756</v>
      </c>
      <c r="AA5" s="100">
        <f t="shared" si="0"/>
        <v>42757</v>
      </c>
      <c r="AB5" s="100">
        <f t="shared" si="0"/>
        <v>42758</v>
      </c>
      <c r="AC5" s="100">
        <f t="shared" si="0"/>
        <v>42759</v>
      </c>
      <c r="AD5" s="100">
        <f t="shared" si="0"/>
        <v>42760</v>
      </c>
      <c r="AE5" s="100">
        <f t="shared" si="0"/>
        <v>42761</v>
      </c>
      <c r="AF5" s="100">
        <f t="shared" si="0"/>
        <v>42762</v>
      </c>
      <c r="AG5" s="100">
        <f t="shared" si="0"/>
        <v>42763</v>
      </c>
      <c r="AH5" s="100">
        <f>AG5+1</f>
        <v>42764</v>
      </c>
      <c r="AI5" s="100">
        <f t="shared" si="0"/>
        <v>42765</v>
      </c>
      <c r="AJ5" s="100">
        <f t="shared" si="0"/>
        <v>42766</v>
      </c>
      <c r="AK5" s="231" t="s">
        <v>14</v>
      </c>
      <c r="AL5" s="232"/>
      <c r="AM5" s="233"/>
      <c r="AN5" s="234" t="s">
        <v>38</v>
      </c>
      <c r="AO5" s="234" t="s">
        <v>34</v>
      </c>
      <c r="AP5" s="234" t="s">
        <v>35</v>
      </c>
      <c r="AQ5" s="234" t="s">
        <v>36</v>
      </c>
      <c r="AR5" s="234" t="s">
        <v>37</v>
      </c>
      <c r="AS5" s="230" t="s">
        <v>0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2" customFormat="1" ht="39.75" customHeight="1">
      <c r="A6" s="229"/>
      <c r="B6" s="229"/>
      <c r="C6" s="229"/>
      <c r="D6" s="229"/>
      <c r="E6" s="229"/>
      <c r="F6" s="151" t="str">
        <f>CHOOSE(WEEKDAY(F5),"C.Nhật","T.Hai","T.Ba","T.Tư","T.Năm","T.Sáu","T.Bảy")</f>
        <v>C.Nhật</v>
      </c>
      <c r="G6" s="151" t="str">
        <f t="shared" ref="G6:AJ6" si="1">CHOOSE(WEEKDAY(G5),"C.Nhật","T.Hai","T.Ba","T.Tư","T.Năm","T.Sáu","T.Bảy")</f>
        <v>T.Hai</v>
      </c>
      <c r="H6" s="151" t="str">
        <f t="shared" si="1"/>
        <v>T.Ba</v>
      </c>
      <c r="I6" s="151" t="str">
        <f t="shared" si="1"/>
        <v>T.Tư</v>
      </c>
      <c r="J6" s="151" t="str">
        <f t="shared" si="1"/>
        <v>T.Năm</v>
      </c>
      <c r="K6" s="151" t="str">
        <f t="shared" si="1"/>
        <v>T.Sáu</v>
      </c>
      <c r="L6" s="151" t="str">
        <f t="shared" si="1"/>
        <v>T.Bảy</v>
      </c>
      <c r="M6" s="151" t="str">
        <f t="shared" si="1"/>
        <v>C.Nhật</v>
      </c>
      <c r="N6" s="151" t="str">
        <f t="shared" si="1"/>
        <v>T.Hai</v>
      </c>
      <c r="O6" s="151" t="str">
        <f t="shared" si="1"/>
        <v>T.Ba</v>
      </c>
      <c r="P6" s="151" t="str">
        <f t="shared" si="1"/>
        <v>T.Tư</v>
      </c>
      <c r="Q6" s="151" t="str">
        <f t="shared" si="1"/>
        <v>T.Năm</v>
      </c>
      <c r="R6" s="151" t="str">
        <f t="shared" si="1"/>
        <v>T.Sáu</v>
      </c>
      <c r="S6" s="151" t="str">
        <f t="shared" si="1"/>
        <v>T.Bảy</v>
      </c>
      <c r="T6" s="151" t="str">
        <f t="shared" si="1"/>
        <v>C.Nhật</v>
      </c>
      <c r="U6" s="151" t="str">
        <f t="shared" si="1"/>
        <v>T.Hai</v>
      </c>
      <c r="V6" s="151" t="str">
        <f t="shared" si="1"/>
        <v>T.Ba</v>
      </c>
      <c r="W6" s="151" t="str">
        <f t="shared" si="1"/>
        <v>T.Tư</v>
      </c>
      <c r="X6" s="151" t="str">
        <f t="shared" si="1"/>
        <v>T.Năm</v>
      </c>
      <c r="Y6" s="151" t="str">
        <f t="shared" si="1"/>
        <v>T.Sáu</v>
      </c>
      <c r="Z6" s="151" t="str">
        <f t="shared" si="1"/>
        <v>T.Bảy</v>
      </c>
      <c r="AA6" s="151" t="str">
        <f t="shared" si="1"/>
        <v>C.Nhật</v>
      </c>
      <c r="AB6" s="151" t="str">
        <f t="shared" si="1"/>
        <v>T.Hai</v>
      </c>
      <c r="AC6" s="151" t="str">
        <f t="shared" si="1"/>
        <v>T.Ba</v>
      </c>
      <c r="AD6" s="151" t="str">
        <f t="shared" si="1"/>
        <v>T.Tư</v>
      </c>
      <c r="AE6" s="151" t="str">
        <f t="shared" si="1"/>
        <v>T.Năm</v>
      </c>
      <c r="AF6" s="151" t="str">
        <f t="shared" si="1"/>
        <v>T.Sáu</v>
      </c>
      <c r="AG6" s="151" t="str">
        <f t="shared" si="1"/>
        <v>T.Bảy</v>
      </c>
      <c r="AH6" s="151" t="str">
        <f t="shared" si="1"/>
        <v>C.Nhật</v>
      </c>
      <c r="AI6" s="151" t="str">
        <f t="shared" si="1"/>
        <v>T.Hai</v>
      </c>
      <c r="AJ6" s="151" t="str">
        <f t="shared" si="1"/>
        <v>T.Ba</v>
      </c>
      <c r="AK6" s="152" t="s">
        <v>15</v>
      </c>
      <c r="AL6" s="152" t="s">
        <v>28</v>
      </c>
      <c r="AM6" s="153" t="s">
        <v>16</v>
      </c>
      <c r="AN6" s="235"/>
      <c r="AO6" s="235"/>
      <c r="AP6" s="235"/>
      <c r="AQ6" s="235"/>
      <c r="AR6" s="235"/>
      <c r="AS6" s="229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2" customFormat="1" ht="12.75" customHeight="1">
      <c r="A7" s="154">
        <v>1</v>
      </c>
      <c r="B7" s="154">
        <v>1</v>
      </c>
      <c r="C7" s="154">
        <v>2</v>
      </c>
      <c r="D7" s="154">
        <v>3</v>
      </c>
      <c r="E7" s="154">
        <v>4</v>
      </c>
      <c r="F7" s="154">
        <v>5</v>
      </c>
      <c r="G7" s="154">
        <v>6</v>
      </c>
      <c r="H7" s="154">
        <v>7</v>
      </c>
      <c r="I7" s="154">
        <v>8</v>
      </c>
      <c r="J7" s="154">
        <v>9</v>
      </c>
      <c r="K7" s="154">
        <v>10</v>
      </c>
      <c r="L7" s="154">
        <v>11</v>
      </c>
      <c r="M7" s="154">
        <v>12</v>
      </c>
      <c r="N7" s="154">
        <v>13</v>
      </c>
      <c r="O7" s="154">
        <v>14</v>
      </c>
      <c r="P7" s="154">
        <v>15</v>
      </c>
      <c r="Q7" s="154">
        <v>16</v>
      </c>
      <c r="R7" s="154">
        <v>17</v>
      </c>
      <c r="S7" s="154">
        <v>18</v>
      </c>
      <c r="T7" s="154">
        <v>19</v>
      </c>
      <c r="U7" s="154">
        <v>20</v>
      </c>
      <c r="V7" s="154">
        <v>21</v>
      </c>
      <c r="W7" s="154">
        <v>22</v>
      </c>
      <c r="X7" s="154">
        <v>23</v>
      </c>
      <c r="Y7" s="154">
        <v>24</v>
      </c>
      <c r="Z7" s="154">
        <v>25</v>
      </c>
      <c r="AA7" s="154">
        <v>26</v>
      </c>
      <c r="AB7" s="154">
        <v>27</v>
      </c>
      <c r="AC7" s="154">
        <v>28</v>
      </c>
      <c r="AD7" s="154">
        <v>29</v>
      </c>
      <c r="AE7" s="154">
        <v>30</v>
      </c>
      <c r="AF7" s="154">
        <v>31</v>
      </c>
      <c r="AG7" s="154">
        <v>32</v>
      </c>
      <c r="AH7" s="154">
        <v>33</v>
      </c>
      <c r="AI7" s="154">
        <v>34</v>
      </c>
      <c r="AJ7" s="154">
        <v>35</v>
      </c>
      <c r="AK7" s="154">
        <v>36</v>
      </c>
      <c r="AL7" s="154">
        <v>37</v>
      </c>
      <c r="AM7" s="154">
        <v>38</v>
      </c>
      <c r="AN7" s="154">
        <v>39</v>
      </c>
      <c r="AO7" s="154">
        <v>40</v>
      </c>
      <c r="AP7" s="154">
        <v>41</v>
      </c>
      <c r="AQ7" s="154">
        <v>42</v>
      </c>
      <c r="AR7" s="154">
        <v>43</v>
      </c>
      <c r="AS7" s="154">
        <v>44</v>
      </c>
      <c r="AT7" s="18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57" customFormat="1" ht="21" customHeight="1">
      <c r="A8" s="155" t="s">
        <v>66</v>
      </c>
      <c r="B8" s="158" t="s">
        <v>75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60"/>
      <c r="AT8" s="156"/>
    </row>
    <row r="9" spans="1:91" s="52" customFormat="1" ht="18" customHeight="1">
      <c r="A9" s="219">
        <v>1</v>
      </c>
      <c r="B9" s="219" t="s">
        <v>72</v>
      </c>
      <c r="C9" s="221" t="str">
        <f>VLOOKUP(B9,DS,2,0)</f>
        <v>Nguyễn Phước Bảo Việt Hùng</v>
      </c>
      <c r="D9" s="223" t="str">
        <f>VLOOKUP(B9,DS,3,0)</f>
        <v>Kinh Doanh</v>
      </c>
      <c r="E9" s="53" t="s">
        <v>29</v>
      </c>
      <c r="F9" s="125"/>
      <c r="G9" s="125"/>
      <c r="H9" s="125">
        <v>8</v>
      </c>
      <c r="I9" s="125">
        <v>8</v>
      </c>
      <c r="J9" s="125">
        <v>8</v>
      </c>
      <c r="K9" s="125">
        <v>8</v>
      </c>
      <c r="L9" s="125">
        <v>8</v>
      </c>
      <c r="M9" s="125"/>
      <c r="N9" s="125">
        <v>8</v>
      </c>
      <c r="O9" s="125">
        <v>8</v>
      </c>
      <c r="P9" s="125">
        <v>8</v>
      </c>
      <c r="Q9" s="125">
        <v>8</v>
      </c>
      <c r="R9" s="125">
        <v>8</v>
      </c>
      <c r="S9" s="125">
        <v>8</v>
      </c>
      <c r="T9" s="125"/>
      <c r="U9" s="125">
        <v>8</v>
      </c>
      <c r="V9" s="125">
        <v>8</v>
      </c>
      <c r="W9" s="125">
        <v>8</v>
      </c>
      <c r="X9" s="125">
        <v>8</v>
      </c>
      <c r="Y9" s="125">
        <v>8</v>
      </c>
      <c r="Z9" s="125">
        <v>8</v>
      </c>
      <c r="AA9" s="125"/>
      <c r="AB9" s="125">
        <v>8</v>
      </c>
      <c r="AC9" s="125">
        <v>8</v>
      </c>
      <c r="AD9" s="125">
        <v>8</v>
      </c>
      <c r="AE9" s="125">
        <v>8</v>
      </c>
      <c r="AF9" s="125"/>
      <c r="AG9" s="125"/>
      <c r="AH9" s="125"/>
      <c r="AI9" s="125"/>
      <c r="AJ9" s="125"/>
      <c r="AK9" s="217">
        <f>((SUM(F9:AJ9))/8)-(SUMIF($F$6:$AJ$6,"C.Nhật",F9:AJ9)/8)</f>
        <v>21</v>
      </c>
      <c r="AL9" s="217">
        <f>SUM(F10:AJ10)/8*1.5</f>
        <v>0</v>
      </c>
      <c r="AM9" s="237">
        <f>SUMIF($F$6:$AJ$6,"C.Nhật",$F9:$AJ10)/8*2</f>
        <v>0</v>
      </c>
      <c r="AN9" s="213">
        <f>SUM(AK9:AM10)</f>
        <v>21</v>
      </c>
      <c r="AO9" s="239">
        <v>0</v>
      </c>
      <c r="AP9" s="213"/>
      <c r="AQ9" s="213"/>
      <c r="AR9" s="213"/>
      <c r="AS9" s="215"/>
      <c r="AT9" s="18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2" customFormat="1" ht="18" customHeight="1">
      <c r="A10" s="220"/>
      <c r="B10" s="220"/>
      <c r="C10" s="222"/>
      <c r="D10" s="224"/>
      <c r="E10" s="54" t="s">
        <v>28</v>
      </c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218"/>
      <c r="AL10" s="218"/>
      <c r="AM10" s="238"/>
      <c r="AN10" s="214"/>
      <c r="AO10" s="240"/>
      <c r="AP10" s="214"/>
      <c r="AQ10" s="214"/>
      <c r="AR10" s="214"/>
      <c r="AS10" s="216"/>
      <c r="AT10" s="18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2" customFormat="1" ht="18" customHeight="1">
      <c r="A11" s="219">
        <v>2</v>
      </c>
      <c r="B11" s="219" t="s">
        <v>73</v>
      </c>
      <c r="C11" s="221" t="str">
        <f>VLOOKUP(B11,DS,2,0)</f>
        <v>Mai Thị Hường</v>
      </c>
      <c r="D11" s="223" t="str">
        <f>VLOOKUP(B11,DS,3,0)</f>
        <v>Kế Toán</v>
      </c>
      <c r="E11" s="53" t="s">
        <v>29</v>
      </c>
      <c r="F11" s="125"/>
      <c r="G11" s="125"/>
      <c r="H11" s="125">
        <v>8</v>
      </c>
      <c r="I11" s="125">
        <v>8</v>
      </c>
      <c r="J11" s="125">
        <v>8</v>
      </c>
      <c r="K11" s="125">
        <v>8</v>
      </c>
      <c r="L11" s="125">
        <v>8</v>
      </c>
      <c r="M11" s="125"/>
      <c r="N11" s="125">
        <v>8</v>
      </c>
      <c r="O11" s="125">
        <v>8</v>
      </c>
      <c r="P11" s="125">
        <v>8</v>
      </c>
      <c r="Q11" s="125">
        <v>8</v>
      </c>
      <c r="R11" s="125">
        <v>8</v>
      </c>
      <c r="S11" s="125">
        <v>8</v>
      </c>
      <c r="T11" s="125"/>
      <c r="U11" s="125">
        <v>8</v>
      </c>
      <c r="V11" s="125">
        <v>8</v>
      </c>
      <c r="W11" s="125">
        <v>8</v>
      </c>
      <c r="X11" s="125">
        <v>8</v>
      </c>
      <c r="Y11" s="125">
        <v>8</v>
      </c>
      <c r="Z11" s="125">
        <v>8</v>
      </c>
      <c r="AA11" s="125"/>
      <c r="AB11" s="125">
        <v>8</v>
      </c>
      <c r="AC11" s="125">
        <v>8</v>
      </c>
      <c r="AD11" s="125">
        <v>8</v>
      </c>
      <c r="AE11" s="125">
        <v>8</v>
      </c>
      <c r="AF11" s="125"/>
      <c r="AG11" s="125"/>
      <c r="AH11" s="125"/>
      <c r="AI11" s="125"/>
      <c r="AJ11" s="125"/>
      <c r="AK11" s="217">
        <f>((SUM(F11:AJ11))/8)-(SUMIF($F$6:$AJ$6,"C.Nhật",F11:AJ11)/8)</f>
        <v>21</v>
      </c>
      <c r="AL11" s="217">
        <f>SUM(F12:AJ12)/8*1.5</f>
        <v>0</v>
      </c>
      <c r="AM11" s="237">
        <f>SUMIF($F$6:$AJ$6,"C.Nhật",$F11:$AJ12)/8*2</f>
        <v>0</v>
      </c>
      <c r="AN11" s="213">
        <f>SUM(AK11:AM12)</f>
        <v>21</v>
      </c>
      <c r="AO11" s="239">
        <v>0</v>
      </c>
      <c r="AP11" s="213"/>
      <c r="AQ11" s="213"/>
      <c r="AR11" s="213"/>
      <c r="AS11" s="215"/>
      <c r="AT11" s="18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2" customFormat="1" ht="18" customHeight="1">
      <c r="A12" s="220"/>
      <c r="B12" s="220"/>
      <c r="C12" s="222"/>
      <c r="D12" s="224"/>
      <c r="E12" s="54" t="s">
        <v>28</v>
      </c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218"/>
      <c r="AL12" s="218"/>
      <c r="AM12" s="238"/>
      <c r="AN12" s="214"/>
      <c r="AO12" s="240"/>
      <c r="AP12" s="214"/>
      <c r="AQ12" s="214"/>
      <c r="AR12" s="214"/>
      <c r="AS12" s="216"/>
      <c r="AT12" s="18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2" customFormat="1" ht="18" customHeight="1">
      <c r="A13" s="219">
        <v>3</v>
      </c>
      <c r="B13" s="219" t="s">
        <v>93</v>
      </c>
      <c r="C13" s="221" t="str">
        <f>VLOOKUP(B13,DS,2,0)</f>
        <v>Đào Quảng Ninh</v>
      </c>
      <c r="D13" s="223" t="str">
        <f>VLOOKUP(B13,DS,3,0)</f>
        <v>Giao Hàng</v>
      </c>
      <c r="E13" s="53" t="s">
        <v>29</v>
      </c>
      <c r="F13" s="125"/>
      <c r="G13" s="125"/>
      <c r="H13" s="125">
        <v>8</v>
      </c>
      <c r="I13" s="125">
        <v>8</v>
      </c>
      <c r="J13" s="125">
        <v>8</v>
      </c>
      <c r="K13" s="125">
        <v>8</v>
      </c>
      <c r="L13" s="125">
        <v>8</v>
      </c>
      <c r="M13" s="125"/>
      <c r="N13" s="125">
        <v>8</v>
      </c>
      <c r="O13" s="125">
        <v>8</v>
      </c>
      <c r="P13" s="125">
        <v>8</v>
      </c>
      <c r="Q13" s="125">
        <v>8</v>
      </c>
      <c r="R13" s="125">
        <v>8</v>
      </c>
      <c r="S13" s="125">
        <v>8</v>
      </c>
      <c r="T13" s="125"/>
      <c r="U13" s="125">
        <v>8</v>
      </c>
      <c r="V13" s="125">
        <v>8</v>
      </c>
      <c r="W13" s="125">
        <v>8</v>
      </c>
      <c r="X13" s="125">
        <v>8</v>
      </c>
      <c r="Y13" s="125">
        <v>8</v>
      </c>
      <c r="Z13" s="125">
        <v>8</v>
      </c>
      <c r="AA13" s="125"/>
      <c r="AB13" s="125">
        <v>8</v>
      </c>
      <c r="AC13" s="125">
        <v>8</v>
      </c>
      <c r="AD13" s="125">
        <v>8</v>
      </c>
      <c r="AE13" s="125">
        <v>8</v>
      </c>
      <c r="AF13" s="125"/>
      <c r="AG13" s="125"/>
      <c r="AH13" s="125"/>
      <c r="AI13" s="125"/>
      <c r="AJ13" s="125"/>
      <c r="AK13" s="217">
        <f>((SUM(F13:AJ13))/8)-(SUMIF($F$6:$AJ$6,"C.Nhật",F13:AJ13)/8)</f>
        <v>21</v>
      </c>
      <c r="AL13" s="217">
        <f>SUM(F14:AJ14)/8*1.5</f>
        <v>0</v>
      </c>
      <c r="AM13" s="237">
        <f>SUMIF($F$6:$AJ$6,"C.Nhật",$F13:$AJ14)/8*2</f>
        <v>0</v>
      </c>
      <c r="AN13" s="213">
        <f>SUM(AK13:AM14)</f>
        <v>21</v>
      </c>
      <c r="AO13" s="239">
        <v>0</v>
      </c>
      <c r="AP13" s="213"/>
      <c r="AQ13" s="213"/>
      <c r="AR13" s="213"/>
      <c r="AS13" s="215"/>
      <c r="AT13" s="18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2" customFormat="1" ht="18" customHeight="1">
      <c r="A14" s="220"/>
      <c r="B14" s="220"/>
      <c r="C14" s="222"/>
      <c r="D14" s="224"/>
      <c r="E14" s="54" t="s">
        <v>28</v>
      </c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218"/>
      <c r="AL14" s="218"/>
      <c r="AM14" s="238"/>
      <c r="AN14" s="214"/>
      <c r="AO14" s="240"/>
      <c r="AP14" s="214"/>
      <c r="AQ14" s="214"/>
      <c r="AR14" s="214"/>
      <c r="AS14" s="216"/>
      <c r="AT14" s="18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57" customFormat="1" ht="21" customHeight="1">
      <c r="A15" s="155" t="s">
        <v>67</v>
      </c>
      <c r="B15" s="158" t="s">
        <v>71</v>
      </c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60"/>
      <c r="AT15" s="156"/>
    </row>
    <row r="16" spans="1:91" s="52" customFormat="1" ht="18" customHeight="1">
      <c r="A16" s="219">
        <v>1</v>
      </c>
      <c r="B16" s="219" t="s">
        <v>74</v>
      </c>
      <c r="C16" s="221" t="str">
        <f>VLOOKUP(B16,DS,2,0)</f>
        <v>Thạch Huy Chạch</v>
      </c>
      <c r="D16" s="223" t="str">
        <f>VLOOKUP(B16,DS,3,0)</f>
        <v>Công nhân</v>
      </c>
      <c r="E16" s="53" t="s">
        <v>29</v>
      </c>
      <c r="F16" s="125"/>
      <c r="G16" s="125"/>
      <c r="H16" s="125">
        <v>8</v>
      </c>
      <c r="I16" s="125">
        <v>8</v>
      </c>
      <c r="J16" s="125">
        <v>8</v>
      </c>
      <c r="K16" s="125">
        <v>8</v>
      </c>
      <c r="L16" s="125">
        <v>8</v>
      </c>
      <c r="M16" s="125"/>
      <c r="N16" s="125">
        <v>8</v>
      </c>
      <c r="O16" s="125">
        <v>8</v>
      </c>
      <c r="P16" s="125">
        <v>8</v>
      </c>
      <c r="Q16" s="125">
        <v>8</v>
      </c>
      <c r="R16" s="125">
        <v>8</v>
      </c>
      <c r="S16" s="125">
        <v>8</v>
      </c>
      <c r="T16" s="125"/>
      <c r="U16" s="125">
        <v>8</v>
      </c>
      <c r="V16" s="125">
        <v>8</v>
      </c>
      <c r="W16" s="125">
        <v>8</v>
      </c>
      <c r="X16" s="125">
        <v>8</v>
      </c>
      <c r="Y16" s="125">
        <v>8</v>
      </c>
      <c r="Z16" s="125">
        <v>8</v>
      </c>
      <c r="AA16" s="125"/>
      <c r="AB16" s="125">
        <v>8</v>
      </c>
      <c r="AC16" s="125">
        <v>8</v>
      </c>
      <c r="AD16" s="125">
        <v>8</v>
      </c>
      <c r="AE16" s="125">
        <v>8</v>
      </c>
      <c r="AF16" s="125"/>
      <c r="AG16" s="125"/>
      <c r="AH16" s="125"/>
      <c r="AI16" s="125"/>
      <c r="AJ16" s="125"/>
      <c r="AK16" s="217">
        <f>((SUM(F16:AJ16))/8)-(SUMIF($F$6:$AJ$6,"C.Nhật",F16:AJ16)/8)</f>
        <v>21</v>
      </c>
      <c r="AL16" s="217">
        <f>SUM(F17:AJ17)/8*1.5</f>
        <v>0</v>
      </c>
      <c r="AM16" s="237">
        <f>SUMIF($F$6:$AJ$6,"C.Nhật",$F16:$AJ17)/8*2</f>
        <v>0</v>
      </c>
      <c r="AN16" s="213">
        <f>SUM(AK16:AM17)</f>
        <v>21</v>
      </c>
      <c r="AO16" s="239">
        <v>0</v>
      </c>
      <c r="AP16" s="213"/>
      <c r="AQ16" s="213"/>
      <c r="AR16" s="213"/>
      <c r="AS16" s="215"/>
      <c r="AT16" s="18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2" customFormat="1" ht="18" customHeight="1">
      <c r="A17" s="220"/>
      <c r="B17" s="220"/>
      <c r="C17" s="222"/>
      <c r="D17" s="224"/>
      <c r="E17" s="54" t="s">
        <v>28</v>
      </c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218"/>
      <c r="AL17" s="218"/>
      <c r="AM17" s="238"/>
      <c r="AN17" s="214"/>
      <c r="AO17" s="240"/>
      <c r="AP17" s="214"/>
      <c r="AQ17" s="214"/>
      <c r="AR17" s="214"/>
      <c r="AS17" s="216"/>
      <c r="AT17" s="18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5" customFormat="1" ht="12.75">
      <c r="A18" s="14"/>
      <c r="B18" s="56"/>
      <c r="C18" s="4"/>
      <c r="D18" s="96"/>
      <c r="E18" s="4"/>
      <c r="F18" s="60"/>
      <c r="G18" s="60"/>
      <c r="H18" s="57"/>
      <c r="I18" s="57"/>
      <c r="J18" s="102"/>
      <c r="K18" s="60"/>
      <c r="L18" s="57"/>
      <c r="M18" s="60"/>
      <c r="N18" s="60"/>
      <c r="O18" s="60"/>
      <c r="P18" s="60"/>
      <c r="Q18" s="57"/>
      <c r="R18" s="60"/>
      <c r="S18" s="60"/>
      <c r="T18" s="102"/>
      <c r="U18" s="60"/>
      <c r="V18" s="60"/>
      <c r="W18" s="60"/>
      <c r="X18" s="56"/>
      <c r="Y18" s="60"/>
      <c r="Z18" s="60"/>
      <c r="AA18" s="60"/>
      <c r="AB18" s="60"/>
      <c r="AC18" s="60"/>
      <c r="AD18" s="57"/>
      <c r="AE18" s="60"/>
      <c r="AF18" s="60"/>
      <c r="AG18" s="60"/>
      <c r="AH18" s="60"/>
      <c r="AI18" s="60"/>
      <c r="AJ18" s="60"/>
      <c r="AK18" s="4"/>
      <c r="AL18" s="4"/>
      <c r="AM18" s="83"/>
      <c r="AN18" s="59"/>
      <c r="AO18" s="59"/>
      <c r="AP18" s="59"/>
      <c r="AQ18" s="59"/>
      <c r="AR18" s="59"/>
      <c r="AS18" s="4"/>
      <c r="AT18" s="88"/>
    </row>
    <row r="19" spans="1:91" s="55" customFormat="1" ht="12.75">
      <c r="A19" s="14"/>
      <c r="B19" s="56"/>
      <c r="C19" s="14" t="s">
        <v>13</v>
      </c>
      <c r="D19" s="96"/>
      <c r="E19" s="4"/>
      <c r="F19" s="60"/>
      <c r="G19" s="60"/>
      <c r="H19" s="57"/>
      <c r="I19" s="57"/>
      <c r="J19" s="102"/>
      <c r="K19" s="60"/>
      <c r="L19" s="57"/>
      <c r="M19" s="60"/>
      <c r="N19" s="60"/>
      <c r="O19" s="60"/>
      <c r="P19" s="60"/>
      <c r="Q19" s="57"/>
      <c r="R19" s="60"/>
      <c r="S19" s="60"/>
      <c r="T19" s="102"/>
      <c r="U19" s="60"/>
      <c r="V19" s="60"/>
      <c r="W19" s="60"/>
      <c r="X19" s="56"/>
      <c r="Y19" s="60"/>
      <c r="Z19" s="60"/>
      <c r="AA19" s="60"/>
      <c r="AB19" s="60"/>
      <c r="AC19" s="60"/>
      <c r="AD19" s="57"/>
      <c r="AE19" s="60"/>
      <c r="AF19" s="60"/>
      <c r="AG19" s="60"/>
      <c r="AH19" s="60"/>
      <c r="AI19" s="60"/>
      <c r="AJ19" s="60"/>
      <c r="AK19" s="4"/>
      <c r="AL19" s="4"/>
      <c r="AM19" s="83"/>
      <c r="AN19" s="59"/>
      <c r="AO19" s="59"/>
      <c r="AP19" s="59"/>
      <c r="AQ19" s="59"/>
      <c r="AR19" s="59"/>
      <c r="AS19" s="4"/>
      <c r="AT19" s="88"/>
    </row>
    <row r="20" spans="1:91" s="55" customFormat="1" ht="12.75">
      <c r="A20" s="12"/>
      <c r="B20" s="12"/>
      <c r="C20" s="4"/>
      <c r="D20" s="96"/>
      <c r="E20" s="4"/>
      <c r="F20" s="60"/>
      <c r="G20" s="60"/>
      <c r="H20" s="103"/>
      <c r="I20" s="103"/>
      <c r="J20" s="103"/>
      <c r="K20" s="60"/>
      <c r="L20" s="103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103"/>
      <c r="AE20" s="60"/>
      <c r="AF20" s="60"/>
      <c r="AG20" s="60"/>
      <c r="AH20" s="60"/>
      <c r="AI20" s="60"/>
      <c r="AJ20" s="60"/>
      <c r="AK20" s="4"/>
      <c r="AL20" s="4"/>
      <c r="AM20" s="83"/>
      <c r="AN20" s="61"/>
      <c r="AO20" s="61"/>
      <c r="AP20" s="61"/>
      <c r="AQ20" s="61"/>
      <c r="AR20" s="61"/>
      <c r="AS20" s="4"/>
      <c r="AT20" s="88"/>
    </row>
    <row r="21" spans="1:91" s="58" customFormat="1" ht="15" customHeight="1">
      <c r="A21" s="12"/>
      <c r="B21" s="12"/>
      <c r="C21" s="4"/>
      <c r="D21" s="96"/>
      <c r="E21" s="4"/>
      <c r="F21" s="60"/>
      <c r="G21" s="60"/>
      <c r="H21" s="103"/>
      <c r="I21" s="103"/>
      <c r="J21" s="103"/>
      <c r="K21" s="60"/>
      <c r="L21" s="103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103"/>
      <c r="AE21" s="60"/>
      <c r="AF21" s="60"/>
      <c r="AG21" s="60"/>
      <c r="AH21" s="60"/>
      <c r="AI21" s="60"/>
      <c r="AJ21" s="60"/>
      <c r="AK21" s="4"/>
      <c r="AL21" s="4"/>
      <c r="AM21" s="83"/>
      <c r="AN21" s="61"/>
      <c r="AO21" s="61"/>
      <c r="AP21" s="61"/>
      <c r="AQ21" s="61"/>
      <c r="AR21" s="61"/>
      <c r="AS21" s="4"/>
      <c r="AT21" s="4"/>
    </row>
    <row r="22" spans="1:91" s="58" customFormat="1" ht="11.25">
      <c r="A22" s="12"/>
      <c r="B22" s="12"/>
      <c r="C22" s="4"/>
      <c r="D22" s="96"/>
      <c r="E22" s="4"/>
      <c r="F22" s="60"/>
      <c r="G22" s="60"/>
      <c r="H22" s="103"/>
      <c r="I22" s="103"/>
      <c r="J22" s="103"/>
      <c r="K22" s="60"/>
      <c r="L22" s="103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103"/>
      <c r="AE22" s="60"/>
      <c r="AF22" s="60"/>
      <c r="AG22" s="60"/>
      <c r="AH22" s="60"/>
      <c r="AI22" s="60"/>
      <c r="AJ22" s="60"/>
      <c r="AK22" s="4"/>
      <c r="AL22" s="4"/>
      <c r="AM22" s="83"/>
      <c r="AN22" s="61"/>
      <c r="AO22" s="61"/>
      <c r="AP22" s="61"/>
      <c r="AQ22" s="61"/>
      <c r="AR22" s="61"/>
      <c r="AS22" s="4"/>
      <c r="AT22" s="4"/>
    </row>
    <row r="23" spans="1:91" s="58" customFormat="1" ht="11.25">
      <c r="A23" s="12"/>
      <c r="B23" s="12"/>
      <c r="C23" s="4"/>
      <c r="D23" s="96"/>
      <c r="E23" s="4"/>
      <c r="F23" s="60"/>
      <c r="G23" s="60"/>
      <c r="H23" s="103"/>
      <c r="I23" s="103"/>
      <c r="J23" s="103"/>
      <c r="K23" s="60"/>
      <c r="L23" s="103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103"/>
      <c r="AE23" s="60"/>
      <c r="AF23" s="60"/>
      <c r="AG23" s="60"/>
      <c r="AH23" s="60"/>
      <c r="AI23" s="60"/>
      <c r="AJ23" s="60"/>
      <c r="AK23" s="4"/>
      <c r="AL23" s="4"/>
      <c r="AM23" s="83"/>
      <c r="AN23" s="61"/>
      <c r="AO23" s="61"/>
      <c r="AP23" s="61"/>
      <c r="AQ23" s="61"/>
      <c r="AR23" s="61"/>
      <c r="AS23" s="4"/>
      <c r="AT23" s="4"/>
    </row>
    <row r="24" spans="1:91" s="58" customFormat="1" ht="11.25">
      <c r="A24" s="10"/>
      <c r="B24" s="10"/>
      <c r="C24" s="14"/>
      <c r="D24" s="97"/>
      <c r="E24" s="62"/>
      <c r="F24" s="102"/>
      <c r="G24" s="104"/>
      <c r="H24" s="57"/>
      <c r="I24" s="57"/>
      <c r="J24" s="57"/>
      <c r="K24" s="104"/>
      <c r="L24" s="57"/>
      <c r="M24" s="104"/>
      <c r="N24" s="104"/>
      <c r="O24" s="104"/>
      <c r="P24" s="104"/>
      <c r="Q24" s="57"/>
      <c r="R24" s="102"/>
      <c r="S24" s="104"/>
      <c r="T24" s="104"/>
      <c r="U24" s="57"/>
      <c r="V24" s="104"/>
      <c r="W24" s="104"/>
      <c r="X24" s="57"/>
      <c r="Y24" s="104"/>
      <c r="Z24" s="104"/>
      <c r="AA24" s="104"/>
      <c r="AB24" s="104"/>
      <c r="AC24" s="104"/>
      <c r="AD24" s="57"/>
      <c r="AE24" s="104"/>
      <c r="AF24" s="104"/>
      <c r="AG24" s="104"/>
      <c r="AH24" s="104"/>
      <c r="AI24" s="104"/>
      <c r="AJ24" s="104"/>
      <c r="AK24" s="62"/>
      <c r="AM24" s="84"/>
      <c r="AN24" s="10"/>
      <c r="AO24" s="10"/>
      <c r="AP24" s="10"/>
      <c r="AQ24" s="10"/>
      <c r="AR24" s="10"/>
      <c r="AS24" s="14"/>
      <c r="AT24" s="4"/>
    </row>
    <row r="25" spans="1:91" s="58" customFormat="1" ht="12.75">
      <c r="A25" s="2"/>
      <c r="B25" s="2" t="s">
        <v>0</v>
      </c>
      <c r="C25" s="2"/>
      <c r="D25" s="178"/>
      <c r="E25" s="2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6"/>
      <c r="AI25" s="106"/>
      <c r="AJ25" s="106"/>
      <c r="AK25" s="2"/>
      <c r="AL25" s="2"/>
      <c r="AM25" s="85"/>
      <c r="AN25" s="2"/>
      <c r="AO25" s="2"/>
      <c r="AP25" s="2"/>
      <c r="AQ25" s="2"/>
      <c r="AR25" s="2"/>
      <c r="AS25" s="2"/>
      <c r="AT25" s="4"/>
    </row>
    <row r="26" spans="1:91" s="58" customFormat="1" ht="12.75">
      <c r="A26" s="2"/>
      <c r="B26" s="2"/>
      <c r="C26" s="2" t="s">
        <v>39</v>
      </c>
      <c r="D26" s="178"/>
      <c r="E26" s="2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6"/>
      <c r="AI26" s="106"/>
      <c r="AJ26" s="106"/>
      <c r="AK26" s="2"/>
      <c r="AL26" s="2"/>
      <c r="AM26" s="85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78" customFormat="1" ht="15" customHeight="1">
      <c r="A29" s="2"/>
      <c r="B29" s="2"/>
      <c r="C29" s="2" t="s">
        <v>42</v>
      </c>
      <c r="E29" s="2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6"/>
      <c r="AI29" s="106"/>
      <c r="AJ29" s="106"/>
      <c r="AK29" s="2"/>
      <c r="AL29" s="2"/>
      <c r="AM29" s="85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78" customFormat="1" ht="15" customHeight="1">
      <c r="A30" s="2"/>
      <c r="B30" s="2"/>
      <c r="C30" s="2" t="s">
        <v>43</v>
      </c>
      <c r="E30" s="2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6"/>
      <c r="AI30" s="106"/>
      <c r="AJ30" s="106"/>
      <c r="AK30" s="2"/>
      <c r="AL30" s="2"/>
      <c r="AM30" s="85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78" customFormat="1" ht="15" customHeight="1">
      <c r="A31" s="2"/>
      <c r="B31" s="2"/>
      <c r="C31" s="2" t="s">
        <v>44</v>
      </c>
      <c r="E31" s="2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6"/>
      <c r="AI31" s="106"/>
      <c r="AJ31" s="106"/>
      <c r="AK31" s="2"/>
      <c r="AL31" s="2"/>
      <c r="AM31" s="85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78" customFormat="1" ht="15" customHeight="1">
      <c r="A32" s="2"/>
      <c r="B32" s="2"/>
      <c r="C32" s="2" t="s">
        <v>45</v>
      </c>
      <c r="E32" s="2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  <c r="AI32" s="106"/>
      <c r="AJ32" s="106"/>
      <c r="AK32" s="2"/>
      <c r="AL32" s="2"/>
      <c r="AM32" s="85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78" customFormat="1" ht="15" customHeight="1">
      <c r="A33" s="2"/>
      <c r="B33" s="2"/>
      <c r="C33" s="2" t="s">
        <v>46</v>
      </c>
      <c r="E33" s="2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  <c r="AI33" s="106"/>
      <c r="AJ33" s="106"/>
      <c r="AK33" s="2"/>
      <c r="AL33" s="2"/>
      <c r="AM33" s="85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78" customFormat="1" ht="15" customHeight="1">
      <c r="A34" s="2"/>
      <c r="B34" s="2"/>
      <c r="C34" s="2" t="s">
        <v>47</v>
      </c>
      <c r="E34" s="2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  <c r="AI34" s="106"/>
      <c r="AJ34" s="106"/>
      <c r="AK34" s="2"/>
      <c r="AL34" s="2"/>
      <c r="AM34" s="85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L16:AL17"/>
    <mergeCell ref="AM16:AM17"/>
    <mergeCell ref="AN16:AN17"/>
    <mergeCell ref="AO16:AO17"/>
    <mergeCell ref="B13:B14"/>
    <mergeCell ref="C13:C14"/>
    <mergeCell ref="D13:D14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5:A6"/>
    <mergeCell ref="B5:B6"/>
    <mergeCell ref="C5:C6"/>
    <mergeCell ref="D5:D6"/>
    <mergeCell ref="E5:E6"/>
    <mergeCell ref="AL13:AL14"/>
    <mergeCell ref="D11:D12"/>
    <mergeCell ref="AK11:AK12"/>
    <mergeCell ref="AL11:AL12"/>
    <mergeCell ref="AM1:AS1"/>
    <mergeCell ref="AK5:AM5"/>
    <mergeCell ref="AN5:AN6"/>
    <mergeCell ref="AO5:AO6"/>
    <mergeCell ref="AP5:AP6"/>
    <mergeCell ref="AQ5:AQ6"/>
    <mergeCell ref="AR5:AR6"/>
    <mergeCell ref="AS5:AS6"/>
    <mergeCell ref="AR11:AR12"/>
    <mergeCell ref="AM11:AM12"/>
    <mergeCell ref="AN11:AN12"/>
    <mergeCell ref="AO11:AO12"/>
    <mergeCell ref="AK13:AK14"/>
    <mergeCell ref="A13:A14"/>
    <mergeCell ref="A11:A12"/>
    <mergeCell ref="B11:B12"/>
    <mergeCell ref="C11:C12"/>
    <mergeCell ref="AP16:AP17"/>
    <mergeCell ref="AQ16:AQ17"/>
    <mergeCell ref="AR16:AR17"/>
    <mergeCell ref="AS16:AS17"/>
    <mergeCell ref="AS11:AS12"/>
    <mergeCell ref="AS13:AS14"/>
    <mergeCell ref="AQ13:AQ14"/>
    <mergeCell ref="AR13:AR14"/>
    <mergeCell ref="AP13:AP14"/>
    <mergeCell ref="AP11:AP12"/>
    <mergeCell ref="AQ11:AQ12"/>
  </mergeCells>
  <conditionalFormatting sqref="F5:AJ6 F9:G9 F13:G13 I9:AJ10 I13:AJ14">
    <cfRule type="expression" dxfId="37" priority="59" stopIfTrue="1">
      <formula>IF(WEEKDAY(F$5)=1,TRUE,FALSE)</formula>
    </cfRule>
  </conditionalFormatting>
  <conditionalFormatting sqref="F9:G9 F13:G13 I9:AJ10 I13:AJ14">
    <cfRule type="expression" dxfId="36" priority="58" stopIfTrue="1">
      <formula>IF(WEEKDAY(F$5)=1,TRUE,FALSE)</formula>
    </cfRule>
  </conditionalFormatting>
  <conditionalFormatting sqref="F10:G10 F14:G14">
    <cfRule type="expression" dxfId="35" priority="56" stopIfTrue="1">
      <formula>IF(WEEKDAY(F$5)=1,TRUE,FALSE)</formula>
    </cfRule>
  </conditionalFormatting>
  <conditionalFormatting sqref="F10:G10 F14:G14">
    <cfRule type="expression" dxfId="34" priority="55" stopIfTrue="1">
      <formula>IF(WEEKDAY(F$5)=1,TRUE,FALSE)</formula>
    </cfRule>
  </conditionalFormatting>
  <conditionalFormatting sqref="F16:G16 I16:AJ17">
    <cfRule type="expression" dxfId="33" priority="24" stopIfTrue="1">
      <formula>IF(WEEKDAY(F$5)=1,TRUE,FALSE)</formula>
    </cfRule>
  </conditionalFormatting>
  <conditionalFormatting sqref="F16:G16 I16:AJ17">
    <cfRule type="expression" dxfId="32" priority="23" stopIfTrue="1">
      <formula>IF(WEEKDAY(F$5)=1,TRUE,FALSE)</formula>
    </cfRule>
  </conditionalFormatting>
  <conditionalFormatting sqref="F17:G17">
    <cfRule type="expression" dxfId="31" priority="22" stopIfTrue="1">
      <formula>IF(WEEKDAY(F$5)=1,TRUE,FALSE)</formula>
    </cfRule>
  </conditionalFormatting>
  <conditionalFormatting sqref="F17:G17">
    <cfRule type="expression" dxfId="30" priority="21" stopIfTrue="1">
      <formula>IF(WEEKDAY(F$5)=1,TRUE,FALSE)</formula>
    </cfRule>
  </conditionalFormatting>
  <conditionalFormatting sqref="F11:G11 I11:AJ12">
    <cfRule type="expression" dxfId="29" priority="16" stopIfTrue="1">
      <formula>IF(WEEKDAY(F$5)=1,TRUE,FALSE)</formula>
    </cfRule>
  </conditionalFormatting>
  <conditionalFormatting sqref="F11:G11 I11:AJ12">
    <cfRule type="expression" dxfId="28" priority="15" stopIfTrue="1">
      <formula>IF(WEEKDAY(F$5)=1,TRUE,FALSE)</formula>
    </cfRule>
  </conditionalFormatting>
  <conditionalFormatting sqref="F12:G12">
    <cfRule type="expression" dxfId="27" priority="14" stopIfTrue="1">
      <formula>IF(WEEKDAY(F$5)=1,TRUE,FALSE)</formula>
    </cfRule>
  </conditionalFormatting>
  <conditionalFormatting sqref="F12:G12">
    <cfRule type="expression" dxfId="26" priority="13" stopIfTrue="1">
      <formula>IF(WEEKDAY(F$5)=1,TRUE,FALSE)</formula>
    </cfRule>
  </conditionalFormatting>
  <conditionalFormatting sqref="H9 H13">
    <cfRule type="expression" dxfId="25" priority="12" stopIfTrue="1">
      <formula>IF(WEEKDAY(H$5)=1,TRUE,FALSE)</formula>
    </cfRule>
  </conditionalFormatting>
  <conditionalFormatting sqref="H9 H13">
    <cfRule type="expression" dxfId="24" priority="11" stopIfTrue="1">
      <formula>IF(WEEKDAY(H$5)=1,TRUE,FALSE)</formula>
    </cfRule>
  </conditionalFormatting>
  <conditionalFormatting sqref="H10 H14">
    <cfRule type="expression" dxfId="23" priority="10" stopIfTrue="1">
      <formula>IF(WEEKDAY(H$5)=1,TRUE,FALSE)</formula>
    </cfRule>
  </conditionalFormatting>
  <conditionalFormatting sqref="H10 H14">
    <cfRule type="expression" dxfId="22" priority="9" stopIfTrue="1">
      <formula>IF(WEEKDAY(H$5)=1,TRUE,FALSE)</formula>
    </cfRule>
  </conditionalFormatting>
  <conditionalFormatting sqref="H16">
    <cfRule type="expression" dxfId="21" priority="8" stopIfTrue="1">
      <formula>IF(WEEKDAY(H$5)=1,TRUE,FALSE)</formula>
    </cfRule>
  </conditionalFormatting>
  <conditionalFormatting sqref="H16">
    <cfRule type="expression" dxfId="20" priority="7" stopIfTrue="1">
      <formula>IF(WEEKDAY(H$5)=1,TRUE,FALSE)</formula>
    </cfRule>
  </conditionalFormatting>
  <conditionalFormatting sqref="H17">
    <cfRule type="expression" dxfId="19" priority="6" stopIfTrue="1">
      <formula>IF(WEEKDAY(H$5)=1,TRUE,FALSE)</formula>
    </cfRule>
  </conditionalFormatting>
  <conditionalFormatting sqref="H17">
    <cfRule type="expression" dxfId="18" priority="5" stopIfTrue="1">
      <formula>IF(WEEKDAY(H$5)=1,TRUE,FALSE)</formula>
    </cfRule>
  </conditionalFormatting>
  <conditionalFormatting sqref="H11">
    <cfRule type="expression" dxfId="17" priority="4" stopIfTrue="1">
      <formula>IF(WEEKDAY(H$5)=1,TRUE,FALSE)</formula>
    </cfRule>
  </conditionalFormatting>
  <conditionalFormatting sqref="H11">
    <cfRule type="expression" dxfId="16" priority="3" stopIfTrue="1">
      <formula>IF(WEEKDAY(H$5)=1,TRUE,FALSE)</formula>
    </cfRule>
  </conditionalFormatting>
  <conditionalFormatting sqref="H12">
    <cfRule type="expression" dxfId="15" priority="2" stopIfTrue="1">
      <formula>IF(WEEKDAY(H$5)=1,TRUE,FALSE)</formula>
    </cfRule>
  </conditionalFormatting>
  <conditionalFormatting sqref="H12">
    <cfRule type="expression" dxfId="14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selection activeCell="Q18" activeCellId="1" sqref="Q14 Q18"/>
    </sheetView>
  </sheetViews>
  <sheetFormatPr defaultRowHeight="11.25"/>
  <cols>
    <col min="1" max="1" width="4.28515625" style="6" customWidth="1"/>
    <col min="2" max="2" width="8.42578125" style="6" customWidth="1"/>
    <col min="3" max="3" width="25.140625" style="6" customWidth="1"/>
    <col min="4" max="4" width="11.710937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6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1"/>
      <c r="B1" s="182"/>
      <c r="C1" s="182"/>
      <c r="D1" s="255" t="str">
        <f>"BẢNG THANH TOÁN LƯƠNG THÁNG"&amp;" "&amp;TEXT($E$4,"mm")&amp;" / "&amp;TEXT($E$4,"yyyy")</f>
        <v>BẢNG THANH TOÁN LƯƠNG THÁNG 01 / 2017</v>
      </c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6"/>
      <c r="P1" s="241" t="s">
        <v>76</v>
      </c>
      <c r="Q1" s="242"/>
      <c r="R1" s="243"/>
      <c r="S1" s="112" t="s">
        <v>49</v>
      </c>
      <c r="T1" s="94" t="s">
        <v>32</v>
      </c>
      <c r="U1" s="68"/>
      <c r="V1" s="68"/>
      <c r="W1" s="5"/>
      <c r="X1" s="5"/>
    </row>
    <row r="2" spans="1:29" s="4" customFormat="1" ht="15" customHeight="1">
      <c r="A2" s="121"/>
      <c r="B2" s="182"/>
      <c r="C2" s="182"/>
      <c r="D2" s="182"/>
      <c r="E2" s="66"/>
      <c r="F2" s="182"/>
      <c r="G2" s="182"/>
      <c r="H2" s="182"/>
      <c r="I2" s="182"/>
      <c r="J2" s="67"/>
      <c r="K2" s="182"/>
      <c r="L2" s="182"/>
      <c r="M2" s="182"/>
      <c r="N2" s="182"/>
      <c r="O2" s="182"/>
      <c r="P2" s="182"/>
      <c r="Q2" s="182"/>
      <c r="R2" s="44"/>
      <c r="S2" s="65">
        <f>MAX(F10:F18)</f>
        <v>21</v>
      </c>
      <c r="T2" s="95">
        <v>31</v>
      </c>
      <c r="U2" s="68"/>
      <c r="V2" s="68"/>
      <c r="W2" s="5"/>
      <c r="X2" s="5"/>
    </row>
    <row r="3" spans="1:29" s="4" customFormat="1" ht="15" customHeight="1">
      <c r="A3" s="121"/>
      <c r="B3" s="182"/>
      <c r="C3" s="182"/>
      <c r="D3" s="182"/>
      <c r="E3" s="66"/>
      <c r="F3" s="182"/>
      <c r="G3" s="182"/>
      <c r="H3" s="182"/>
      <c r="I3" s="182"/>
      <c r="J3" s="67"/>
      <c r="K3" s="182"/>
      <c r="L3" s="182"/>
      <c r="M3" s="182"/>
      <c r="N3" s="182"/>
      <c r="O3" s="182"/>
      <c r="P3" s="182"/>
      <c r="Q3" s="182"/>
      <c r="R3" s="44"/>
      <c r="S3" s="113"/>
      <c r="T3" s="114"/>
      <c r="U3" s="68"/>
      <c r="V3" s="68"/>
      <c r="W3" s="5"/>
      <c r="X3" s="5"/>
    </row>
    <row r="4" spans="1:29" s="89" customFormat="1" ht="14.25" customHeight="1">
      <c r="A4" s="87"/>
      <c r="B4" s="88"/>
      <c r="C4" s="88"/>
      <c r="D4" s="88"/>
      <c r="E4" s="165">
        <f>'CC -1'!$E$4</f>
        <v>42736</v>
      </c>
      <c r="F4" s="88"/>
      <c r="G4" s="88"/>
      <c r="H4" s="88"/>
      <c r="I4" s="88"/>
      <c r="J4" s="88"/>
      <c r="K4" s="88"/>
      <c r="L4" s="141">
        <v>0.08</v>
      </c>
      <c r="M4" s="141">
        <v>1.4999999999999999E-2</v>
      </c>
      <c r="N4" s="141">
        <v>0.01</v>
      </c>
      <c r="O4" s="88"/>
      <c r="P4" s="88"/>
      <c r="Q4" s="88"/>
      <c r="R4" s="88"/>
      <c r="S4" s="88"/>
      <c r="T4" s="90"/>
      <c r="U4" s="90"/>
      <c r="V4" s="90"/>
      <c r="W4" s="90"/>
      <c r="X4" s="90"/>
    </row>
    <row r="5" spans="1:29" s="21" customFormat="1" ht="24" customHeight="1">
      <c r="A5" s="244" t="s">
        <v>18</v>
      </c>
      <c r="B5" s="244" t="s">
        <v>19</v>
      </c>
      <c r="C5" s="208" t="s">
        <v>1</v>
      </c>
      <c r="D5" s="208" t="s">
        <v>2</v>
      </c>
      <c r="E5" s="211" t="s">
        <v>48</v>
      </c>
      <c r="F5" s="247" t="s">
        <v>23</v>
      </c>
      <c r="G5" s="248"/>
      <c r="H5" s="248"/>
      <c r="I5" s="248"/>
      <c r="J5" s="248"/>
      <c r="K5" s="249"/>
      <c r="L5" s="208" t="s">
        <v>5</v>
      </c>
      <c r="M5" s="208"/>
      <c r="N5" s="208"/>
      <c r="O5" s="246" t="s">
        <v>6</v>
      </c>
      <c r="P5" s="246" t="s">
        <v>7</v>
      </c>
      <c r="Q5" s="246" t="s">
        <v>8</v>
      </c>
      <c r="R5" s="209" t="s">
        <v>9</v>
      </c>
      <c r="S5" s="88"/>
      <c r="T5" s="22"/>
      <c r="U5" s="22"/>
      <c r="V5" s="5"/>
      <c r="W5" s="5"/>
      <c r="X5" s="5"/>
      <c r="Y5" s="4"/>
      <c r="Z5" s="4"/>
      <c r="AA5" s="4"/>
      <c r="AB5" s="4"/>
      <c r="AC5" s="4"/>
    </row>
    <row r="6" spans="1:29" s="21" customFormat="1" ht="33.75" customHeight="1">
      <c r="A6" s="245"/>
      <c r="B6" s="245"/>
      <c r="C6" s="208"/>
      <c r="D6" s="208"/>
      <c r="E6" s="211"/>
      <c r="F6" s="247" t="s">
        <v>50</v>
      </c>
      <c r="G6" s="249"/>
      <c r="H6" s="247" t="s">
        <v>69</v>
      </c>
      <c r="I6" s="248"/>
      <c r="J6" s="251" t="s">
        <v>24</v>
      </c>
      <c r="K6" s="246" t="s">
        <v>4</v>
      </c>
      <c r="L6" s="253" t="s">
        <v>11</v>
      </c>
      <c r="M6" s="246" t="s">
        <v>12</v>
      </c>
      <c r="N6" s="246" t="s">
        <v>30</v>
      </c>
      <c r="O6" s="250"/>
      <c r="P6" s="250"/>
      <c r="Q6" s="250"/>
      <c r="R6" s="210"/>
      <c r="S6" s="88"/>
      <c r="T6" s="22"/>
      <c r="U6" s="22"/>
      <c r="V6" s="5"/>
      <c r="W6" s="5"/>
      <c r="X6" s="5"/>
      <c r="Y6" s="4"/>
      <c r="Z6" s="4"/>
      <c r="AA6" s="4"/>
      <c r="AB6" s="4"/>
      <c r="AC6" s="4"/>
    </row>
    <row r="7" spans="1:29" s="21" customFormat="1" ht="35.25" customHeight="1">
      <c r="A7" s="245"/>
      <c r="B7" s="245"/>
      <c r="C7" s="246"/>
      <c r="D7" s="246"/>
      <c r="E7" s="211"/>
      <c r="F7" s="181" t="s">
        <v>33</v>
      </c>
      <c r="G7" s="179" t="s">
        <v>17</v>
      </c>
      <c r="H7" s="181" t="s">
        <v>33</v>
      </c>
      <c r="I7" s="110" t="s">
        <v>17</v>
      </c>
      <c r="J7" s="252"/>
      <c r="K7" s="250"/>
      <c r="L7" s="254"/>
      <c r="M7" s="250"/>
      <c r="N7" s="250"/>
      <c r="O7" s="250"/>
      <c r="P7" s="250"/>
      <c r="Q7" s="250"/>
      <c r="R7" s="210"/>
      <c r="S7" s="88"/>
      <c r="T7" s="22"/>
      <c r="U7" s="22"/>
      <c r="V7" s="5"/>
      <c r="W7" s="5"/>
      <c r="X7" s="5"/>
      <c r="Y7" s="4"/>
      <c r="Z7" s="4"/>
      <c r="AA7" s="4"/>
      <c r="AB7" s="4"/>
      <c r="AC7" s="4"/>
    </row>
    <row r="8" spans="1:29" s="70" customFormat="1" ht="12.75" customHeight="1">
      <c r="A8" s="69"/>
      <c r="B8" s="69">
        <v>1</v>
      </c>
      <c r="C8" s="69">
        <v>2</v>
      </c>
      <c r="D8" s="69">
        <v>3</v>
      </c>
      <c r="E8" s="69">
        <v>4</v>
      </c>
      <c r="F8" s="69">
        <v>5</v>
      </c>
      <c r="G8" s="69">
        <v>6</v>
      </c>
      <c r="H8" s="69">
        <v>7</v>
      </c>
      <c r="I8" s="69">
        <v>8</v>
      </c>
      <c r="J8" s="69">
        <v>9</v>
      </c>
      <c r="K8" s="69">
        <v>10</v>
      </c>
      <c r="L8" s="69">
        <v>11</v>
      </c>
      <c r="M8" s="69">
        <v>12</v>
      </c>
      <c r="N8" s="69">
        <v>13</v>
      </c>
      <c r="O8" s="69">
        <v>14</v>
      </c>
      <c r="P8" s="69">
        <v>15</v>
      </c>
      <c r="Q8" s="69">
        <v>16</v>
      </c>
      <c r="R8" s="69">
        <v>17</v>
      </c>
      <c r="S8" s="88"/>
      <c r="T8" s="71"/>
      <c r="U8" s="71"/>
      <c r="V8" s="72"/>
      <c r="W8" s="72"/>
      <c r="X8" s="72"/>
      <c r="Y8" s="73"/>
      <c r="Z8" s="73"/>
      <c r="AA8" s="73"/>
      <c r="AB8" s="73"/>
      <c r="AC8" s="73"/>
    </row>
    <row r="9" spans="1:29" s="70" customFormat="1" ht="24" customHeight="1">
      <c r="A9" s="164" t="s">
        <v>66</v>
      </c>
      <c r="B9" s="163" t="s">
        <v>77</v>
      </c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88"/>
      <c r="T9" s="71"/>
      <c r="U9" s="71"/>
      <c r="V9" s="72"/>
      <c r="W9" s="72"/>
      <c r="X9" s="72"/>
      <c r="Y9" s="73"/>
      <c r="Z9" s="73"/>
      <c r="AA9" s="73"/>
      <c r="AB9" s="73"/>
      <c r="AC9" s="73"/>
    </row>
    <row r="10" spans="1:29" s="27" customFormat="1" ht="24" customHeight="1">
      <c r="A10" s="29">
        <v>1</v>
      </c>
      <c r="B10" s="123" t="s">
        <v>72</v>
      </c>
      <c r="C10" s="74" t="str">
        <f>VLOOKUP(B10,DS,2,0)</f>
        <v>Nguyễn Phước Bảo Việt Hùng</v>
      </c>
      <c r="D10" s="98" t="str">
        <f>VLOOKUP(B10,DS,3,0)</f>
        <v>Kinh Doanh</v>
      </c>
      <c r="E10" s="75">
        <f>VLOOKUP(B10,DS,4,0)</f>
        <v>4012500</v>
      </c>
      <c r="F10" s="77">
        <f>VLOOKUP(B10,'CC -1'!$B$9:$AS$18,36,0)</f>
        <v>21</v>
      </c>
      <c r="G10" s="127">
        <f>ROUND(E10/$S$2*F10,0)</f>
        <v>4012500</v>
      </c>
      <c r="H10" s="77">
        <f>(VLOOKUP(B10,'CC -1'!$B$9:$AS$18,37,0)+VLOOKUP(B10,'CC -1'!$B$9:$AS$18,38,0))</f>
        <v>0</v>
      </c>
      <c r="I10" s="127">
        <f>ROUND(E10/$S$2*H10,0)</f>
        <v>0</v>
      </c>
      <c r="J10" s="78">
        <f t="shared" ref="J10:K12" si="0">F10+H10</f>
        <v>21</v>
      </c>
      <c r="K10" s="30">
        <f t="shared" si="0"/>
        <v>4012500</v>
      </c>
      <c r="L10" s="31">
        <f t="shared" ref="L10:N12" si="1">IF(VLOOKUP($B10,DS,9,0)="x",$E10*L$4,0)</f>
        <v>321000</v>
      </c>
      <c r="M10" s="31">
        <f t="shared" si="1"/>
        <v>60187.5</v>
      </c>
      <c r="N10" s="31">
        <f t="shared" si="1"/>
        <v>40125</v>
      </c>
      <c r="O10" s="30">
        <f>K10-SUM(L10:N10)</f>
        <v>3591187.5</v>
      </c>
      <c r="P10" s="30"/>
      <c r="Q10" s="36">
        <f>O10-P10</f>
        <v>3591187.5</v>
      </c>
      <c r="R10" s="30"/>
      <c r="S10" s="88"/>
      <c r="T10" s="28"/>
      <c r="U10" s="22"/>
      <c r="V10" s="5"/>
      <c r="W10" s="5"/>
      <c r="X10" s="5"/>
      <c r="Y10" s="4"/>
      <c r="Z10" s="4"/>
      <c r="AA10" s="4"/>
      <c r="AB10" s="4"/>
      <c r="AC10" s="4"/>
    </row>
    <row r="11" spans="1:29" s="27" customFormat="1" ht="24" customHeight="1">
      <c r="A11" s="29">
        <v>2</v>
      </c>
      <c r="B11" s="123" t="s">
        <v>73</v>
      </c>
      <c r="C11" s="74" t="str">
        <f>VLOOKUP(B11,DS,2,0)</f>
        <v>Mai Thị Hường</v>
      </c>
      <c r="D11" s="98" t="str">
        <f>VLOOKUP(B11,DS,3,0)</f>
        <v>Kế Toán</v>
      </c>
      <c r="E11" s="75">
        <f>VLOOKUP(B11,DS,4,0)</f>
        <v>4012500</v>
      </c>
      <c r="F11" s="77">
        <f>VLOOKUP(B11,'CC -1'!$B$9:$AS$18,36,0)</f>
        <v>21</v>
      </c>
      <c r="G11" s="127">
        <f>ROUND(E11/$S$2*F11,0)</f>
        <v>4012500</v>
      </c>
      <c r="H11" s="77">
        <f>(VLOOKUP(B11,'CC -1'!$B$9:$AS$18,37,0)+VLOOKUP(B11,'CC -1'!$B$9:$AS$18,38,0))</f>
        <v>0</v>
      </c>
      <c r="I11" s="127">
        <f>ROUND(E11/$S$2*H11,0)</f>
        <v>0</v>
      </c>
      <c r="J11" s="78">
        <f t="shared" si="0"/>
        <v>21</v>
      </c>
      <c r="K11" s="30">
        <f t="shared" si="0"/>
        <v>4012500</v>
      </c>
      <c r="L11" s="31">
        <f t="shared" si="1"/>
        <v>321000</v>
      </c>
      <c r="M11" s="31">
        <f t="shared" si="1"/>
        <v>60187.5</v>
      </c>
      <c r="N11" s="31">
        <f t="shared" si="1"/>
        <v>40125</v>
      </c>
      <c r="O11" s="30">
        <f>K11-SUM(L11:N11)</f>
        <v>3591187.5</v>
      </c>
      <c r="P11" s="30"/>
      <c r="Q11" s="36">
        <f>O11-P11</f>
        <v>3591187.5</v>
      </c>
      <c r="R11" s="30"/>
      <c r="S11" s="88"/>
      <c r="T11" s="28"/>
      <c r="U11" s="22"/>
      <c r="V11" s="5"/>
      <c r="W11" s="5"/>
      <c r="X11" s="5"/>
      <c r="Y11" s="4"/>
      <c r="Z11" s="4"/>
      <c r="AA11" s="4"/>
      <c r="AB11" s="4"/>
      <c r="AC11" s="4"/>
    </row>
    <row r="12" spans="1:29" s="27" customFormat="1" ht="24" customHeight="1">
      <c r="A12" s="29">
        <v>3</v>
      </c>
      <c r="B12" s="123" t="s">
        <v>93</v>
      </c>
      <c r="C12" s="74" t="str">
        <f>VLOOKUP(B12,DS,2,0)</f>
        <v>Đào Quảng Ninh</v>
      </c>
      <c r="D12" s="98" t="str">
        <f>VLOOKUP(B12,DS,3,0)</f>
        <v>Giao Hàng</v>
      </c>
      <c r="E12" s="75">
        <f>VLOOKUP(B12,DS,4,0)</f>
        <v>3937000</v>
      </c>
      <c r="F12" s="77">
        <f>VLOOKUP(B12,'CC -1'!$B$9:$AS$18,36,0)</f>
        <v>21</v>
      </c>
      <c r="G12" s="127">
        <f>ROUND(E12/$S$2*F12,0)</f>
        <v>3937000</v>
      </c>
      <c r="H12" s="77">
        <f>(VLOOKUP(B12,'CC -1'!$B$9:$AS$18,37,0)+VLOOKUP(B12,'CC -1'!$B$9:$AS$18,38,0))</f>
        <v>0</v>
      </c>
      <c r="I12" s="127">
        <f>ROUND(E12/$S$2*H12,0)</f>
        <v>0</v>
      </c>
      <c r="J12" s="78">
        <f t="shared" si="0"/>
        <v>21</v>
      </c>
      <c r="K12" s="30">
        <f t="shared" si="0"/>
        <v>3937000</v>
      </c>
      <c r="L12" s="31">
        <f t="shared" si="1"/>
        <v>314960</v>
      </c>
      <c r="M12" s="31">
        <f t="shared" si="1"/>
        <v>59055</v>
      </c>
      <c r="N12" s="31">
        <f t="shared" si="1"/>
        <v>39370</v>
      </c>
      <c r="O12" s="30">
        <f>K12-SUM(L12:N12)</f>
        <v>3523615</v>
      </c>
      <c r="P12" s="30"/>
      <c r="Q12" s="36">
        <f>O12-P12</f>
        <v>3523615</v>
      </c>
      <c r="R12" s="30"/>
      <c r="S12" s="88"/>
      <c r="T12" s="28"/>
      <c r="U12" s="22"/>
      <c r="V12" s="5"/>
      <c r="W12" s="5"/>
      <c r="X12" s="5"/>
      <c r="Y12" s="4"/>
      <c r="Z12" s="4"/>
      <c r="AA12" s="4"/>
      <c r="AB12" s="4"/>
      <c r="AC12" s="4"/>
    </row>
    <row r="13" spans="1:29" s="27" customFormat="1" ht="24" customHeight="1">
      <c r="A13" s="167"/>
      <c r="B13" s="168"/>
      <c r="C13" s="169"/>
      <c r="D13" s="170"/>
      <c r="E13" s="171"/>
      <c r="F13" s="172"/>
      <c r="G13" s="173"/>
      <c r="H13" s="172"/>
      <c r="I13" s="173"/>
      <c r="J13" s="174"/>
      <c r="K13" s="175"/>
      <c r="L13" s="176"/>
      <c r="M13" s="176"/>
      <c r="N13" s="176"/>
      <c r="O13" s="175"/>
      <c r="P13" s="175"/>
      <c r="Q13" s="177"/>
      <c r="R13" s="175"/>
      <c r="S13" s="88"/>
      <c r="T13" s="28"/>
      <c r="U13" s="22"/>
      <c r="V13" s="5"/>
      <c r="W13" s="5"/>
      <c r="X13" s="5"/>
      <c r="Y13" s="4"/>
      <c r="Z13" s="4"/>
      <c r="AA13" s="4"/>
      <c r="AB13" s="4"/>
      <c r="AC13" s="4"/>
    </row>
    <row r="14" spans="1:29" s="25" customFormat="1" ht="21" customHeight="1">
      <c r="A14" s="195" t="s">
        <v>22</v>
      </c>
      <c r="B14" s="196"/>
      <c r="C14" s="196"/>
      <c r="D14" s="197"/>
      <c r="E14" s="122">
        <f>SUM(E9:E13)</f>
        <v>11962000</v>
      </c>
      <c r="F14" s="122"/>
      <c r="G14" s="122">
        <f>SUM(G9:G13)</f>
        <v>11962000</v>
      </c>
      <c r="H14" s="122"/>
      <c r="I14" s="122">
        <f>SUM(I9:I13)</f>
        <v>0</v>
      </c>
      <c r="J14" s="122"/>
      <c r="K14" s="122">
        <f>SUM(K9:K13)</f>
        <v>11962000</v>
      </c>
      <c r="L14" s="122">
        <f>SUM(L9:L13)</f>
        <v>956960</v>
      </c>
      <c r="M14" s="122">
        <f>SUM(M9:M13)</f>
        <v>179430</v>
      </c>
      <c r="N14" s="122">
        <f>SUM(N9:N13)</f>
        <v>119620</v>
      </c>
      <c r="O14" s="122">
        <f>SUM(O9:O13)</f>
        <v>10705990</v>
      </c>
      <c r="P14" s="122"/>
      <c r="Q14" s="122">
        <f>SUM(Q9:Q13)</f>
        <v>10705990</v>
      </c>
      <c r="R14" s="20"/>
      <c r="S14" s="88"/>
      <c r="T14" s="26"/>
      <c r="U14" s="26"/>
      <c r="V14" s="26"/>
      <c r="W14" s="26"/>
      <c r="X14" s="26"/>
    </row>
    <row r="15" spans="1:29" s="70" customFormat="1" ht="24" customHeight="1">
      <c r="A15" s="164" t="s">
        <v>67</v>
      </c>
      <c r="B15" s="163" t="s">
        <v>68</v>
      </c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88"/>
      <c r="T15" s="71"/>
      <c r="U15" s="71"/>
      <c r="V15" s="72"/>
      <c r="W15" s="72"/>
      <c r="X15" s="72"/>
      <c r="Y15" s="73"/>
      <c r="Z15" s="73"/>
      <c r="AA15" s="73"/>
      <c r="AB15" s="73"/>
      <c r="AC15" s="73"/>
    </row>
    <row r="16" spans="1:29" s="27" customFormat="1" ht="24" customHeight="1">
      <c r="A16" s="29">
        <v>1</v>
      </c>
      <c r="B16" s="123" t="s">
        <v>74</v>
      </c>
      <c r="C16" s="74" t="str">
        <f>VLOOKUP(B16,DS,2,0)</f>
        <v>Thạch Huy Chạch</v>
      </c>
      <c r="D16" s="98" t="str">
        <f>VLOOKUP(B16,DS,3,0)</f>
        <v>Công nhân</v>
      </c>
      <c r="E16" s="75">
        <f>VLOOKUP(B16,DS,4,0)</f>
        <v>3937000</v>
      </c>
      <c r="F16" s="77">
        <f>VLOOKUP(B16,'CC -1'!$B$9:$AS$18,36,0)</f>
        <v>21</v>
      </c>
      <c r="G16" s="127">
        <f>ROUND(E16/$S$2*F16,0)</f>
        <v>3937000</v>
      </c>
      <c r="H16" s="77">
        <f>(VLOOKUP(B16,'CC -1'!$B$9:$AS$18,37,0)+VLOOKUP(B16,'CC -1'!$B$9:$AS$18,38,0))</f>
        <v>0</v>
      </c>
      <c r="I16" s="127">
        <f>ROUND(E16/$S$2*H16,0)</f>
        <v>0</v>
      </c>
      <c r="J16" s="128">
        <f>F16+H16</f>
        <v>21</v>
      </c>
      <c r="K16" s="30">
        <f>G16+I16</f>
        <v>3937000</v>
      </c>
      <c r="L16" s="31">
        <f>IF(VLOOKUP($B16,DS,9,0)="x",$E16*L$4,0)</f>
        <v>314960</v>
      </c>
      <c r="M16" s="31">
        <f>IF(VLOOKUP($B16,DS,9,0)="x",$E16*M$4,0)</f>
        <v>59055</v>
      </c>
      <c r="N16" s="31">
        <f>IF(VLOOKUP($B16,DS,9,0)="x",$E16*N$4,0)</f>
        <v>39370</v>
      </c>
      <c r="O16" s="30">
        <f>K16-SUM(L16:N16)</f>
        <v>3523615</v>
      </c>
      <c r="P16" s="30"/>
      <c r="Q16" s="36">
        <f>O16-P16</f>
        <v>3523615</v>
      </c>
      <c r="R16" s="30"/>
      <c r="S16" s="88"/>
      <c r="T16" s="28"/>
      <c r="U16" s="22"/>
      <c r="V16" s="5"/>
      <c r="W16" s="5"/>
      <c r="X16" s="5"/>
      <c r="Y16" s="4"/>
      <c r="Z16" s="4"/>
      <c r="AA16" s="4"/>
      <c r="AB16" s="4"/>
      <c r="AC16" s="4"/>
    </row>
    <row r="17" spans="1:24" s="27" customFormat="1" ht="22.5" customHeight="1">
      <c r="A17" s="32"/>
      <c r="B17" s="161"/>
      <c r="C17" s="33"/>
      <c r="D17" s="3"/>
      <c r="E17" s="34"/>
      <c r="F17" s="34"/>
      <c r="G17" s="34"/>
      <c r="H17" s="34"/>
      <c r="I17" s="34"/>
      <c r="J17" s="35"/>
      <c r="K17" s="34"/>
      <c r="L17" s="34"/>
      <c r="M17" s="34"/>
      <c r="N17" s="34"/>
      <c r="O17" s="34"/>
      <c r="P17" s="34"/>
      <c r="Q17" s="34"/>
      <c r="R17" s="30"/>
      <c r="S17" s="88"/>
      <c r="T17" s="28"/>
      <c r="U17" s="28"/>
      <c r="V17" s="28"/>
      <c r="W17" s="28"/>
      <c r="X17" s="28"/>
    </row>
    <row r="18" spans="1:24" s="25" customFormat="1" ht="21" customHeight="1">
      <c r="A18" s="195" t="s">
        <v>22</v>
      </c>
      <c r="B18" s="196"/>
      <c r="C18" s="196"/>
      <c r="D18" s="197"/>
      <c r="E18" s="122">
        <f>SUM(E15:E17)</f>
        <v>3937000</v>
      </c>
      <c r="F18" s="122"/>
      <c r="G18" s="122">
        <f>SUM(G15:G17)</f>
        <v>3937000</v>
      </c>
      <c r="H18" s="122"/>
      <c r="I18" s="122">
        <f>SUM(I15:I17)</f>
        <v>0</v>
      </c>
      <c r="J18" s="122"/>
      <c r="K18" s="122">
        <f>SUM(K15:K17)</f>
        <v>3937000</v>
      </c>
      <c r="L18" s="122">
        <f>SUM(L15:L17)</f>
        <v>314960</v>
      </c>
      <c r="M18" s="122">
        <f>SUM(M15:M17)</f>
        <v>59055</v>
      </c>
      <c r="N18" s="122">
        <f>SUM(N15:N17)</f>
        <v>39370</v>
      </c>
      <c r="O18" s="122">
        <f>SUM(O15:O17)</f>
        <v>3523615</v>
      </c>
      <c r="P18" s="122"/>
      <c r="Q18" s="122">
        <f>SUM(Q15:Q17)</f>
        <v>3523615</v>
      </c>
      <c r="R18" s="20"/>
      <c r="S18" s="183"/>
      <c r="T18" s="26"/>
      <c r="U18" s="26"/>
      <c r="V18" s="26"/>
      <c r="W18" s="26"/>
      <c r="X18" s="26"/>
    </row>
    <row r="19" spans="1:24" ht="11.25" customHeight="1">
      <c r="A19" s="8"/>
      <c r="B19" s="8"/>
      <c r="C19" s="9"/>
      <c r="D19" s="99"/>
      <c r="E19" s="79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88"/>
    </row>
    <row r="20" spans="1:24" s="27" customFormat="1" ht="11.25" customHeight="1">
      <c r="A20" s="63"/>
      <c r="B20" s="63"/>
      <c r="C20" s="63"/>
      <c r="D20" s="115"/>
      <c r="E20" s="116"/>
      <c r="F20" s="63"/>
      <c r="G20" s="63"/>
      <c r="H20" s="63"/>
      <c r="I20" s="63"/>
      <c r="J20" s="117"/>
      <c r="K20" s="116"/>
      <c r="L20" s="63"/>
      <c r="M20" s="63"/>
      <c r="N20" s="63"/>
      <c r="O20" s="63"/>
      <c r="P20" s="63"/>
      <c r="Q20" s="92" t="str">
        <f>"Bình Dương, ngày  "&amp;$T$2&amp;"   tháng   "&amp;TEXT(E4,"mm")&amp;"   năm "&amp;TEXT(E4,"yyyy")</f>
        <v>Bình Dương, ngày  31   tháng   01   năm 2017</v>
      </c>
      <c r="R20" s="63"/>
      <c r="S20" s="118"/>
      <c r="T20" s="28"/>
      <c r="U20" s="28"/>
      <c r="V20" s="28"/>
      <c r="W20" s="28"/>
      <c r="X20" s="28"/>
    </row>
    <row r="21" spans="1:24" s="27" customFormat="1" ht="12.75">
      <c r="A21" s="23"/>
      <c r="B21" s="23"/>
      <c r="C21" s="23" t="s">
        <v>51</v>
      </c>
      <c r="D21" s="119"/>
      <c r="E21" s="64"/>
      <c r="F21" s="118"/>
      <c r="G21" s="64"/>
      <c r="H21" s="64"/>
      <c r="I21" s="64"/>
      <c r="J21" s="120"/>
      <c r="K21" s="28"/>
      <c r="L21" s="19"/>
      <c r="M21" s="19"/>
      <c r="N21" s="19"/>
      <c r="O21" s="19"/>
      <c r="Q21" s="118" t="s">
        <v>20</v>
      </c>
      <c r="R21" s="118"/>
      <c r="S21" s="118"/>
      <c r="T21" s="28"/>
      <c r="U21" s="28"/>
      <c r="V21" s="28"/>
      <c r="W21" s="28"/>
      <c r="X21" s="28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88"/>
    </row>
    <row r="23" spans="1:24" ht="12">
      <c r="C23" s="15"/>
      <c r="R23" s="15"/>
      <c r="S23" s="88"/>
    </row>
    <row r="24" spans="1:24" ht="12">
      <c r="S24" s="88"/>
    </row>
    <row r="25" spans="1:24" ht="12">
      <c r="S25" s="88"/>
    </row>
    <row r="26" spans="1:24" ht="12">
      <c r="S26" s="88"/>
    </row>
    <row r="27" spans="1:24" ht="12">
      <c r="S27" s="88"/>
    </row>
    <row r="28" spans="1:24" ht="12">
      <c r="S28" s="88"/>
    </row>
    <row r="29" spans="1:24" ht="12">
      <c r="S29" s="88"/>
    </row>
  </sheetData>
  <protectedRanges>
    <protectedRange password="CC78" sqref="T17:II18 C5:D7 B21:C21 T5:U9 A17:A22 B17:B20 B22 T15:U15 O5:R7 E5:I6 L5:N6 L24:R57 S30:S57 J17:Q17 T24:II57 L58:II65325 AD15:II15 T14:II14 AD5:II13 U10:U13 A10:B14 O16 O10:Q13 A24:K65325 D18:R18 D14:R14 J6:K7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2:S3" name="Range1_2_2_1"/>
    <protectedRange password="CC78" sqref="U16 A16:B16 P16:Q16 AD16:II16" name="Range1_5"/>
    <protectedRange password="CC78" sqref="V16:AC16 S16" name="Range1_2_3"/>
    <protectedRange password="CC78" sqref="T16" name="Range1_1_3"/>
    <protectedRange password="CC78" sqref="K16 K10:K13" name="Range1_6"/>
    <protectedRange password="CC78" sqref="A2:A3" name="Range1_2_1_3"/>
  </protectedRanges>
  <autoFilter ref="A7:AC9"/>
  <mergeCells count="20"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I9" sqref="I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1.28515625" style="2" customWidth="1"/>
    <col min="4" max="4" width="6.85546875" style="178" customWidth="1"/>
    <col min="5" max="5" width="7.140625" style="2" customWidth="1"/>
    <col min="6" max="33" width="3.42578125" style="105" customWidth="1"/>
    <col min="34" max="34" width="3.42578125" style="106" customWidth="1"/>
    <col min="35" max="36" width="4.42578125" style="2" customWidth="1"/>
    <col min="37" max="37" width="5.5703125" style="85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1"/>
      <c r="B1" s="39"/>
      <c r="C1" s="39"/>
      <c r="D1" s="43"/>
      <c r="E1" s="39"/>
      <c r="F1" s="43"/>
      <c r="G1" s="43"/>
      <c r="H1" s="43"/>
      <c r="I1" s="43"/>
      <c r="J1" s="43"/>
      <c r="K1" s="101"/>
      <c r="L1" s="101"/>
      <c r="M1" s="101"/>
      <c r="N1" s="101"/>
      <c r="O1" s="101"/>
      <c r="P1" s="101"/>
      <c r="Q1" s="101"/>
      <c r="R1" s="101"/>
      <c r="S1" s="41" t="str">
        <f>CONCATENATE("BẢNG CHẤM CÔNG THÁNG ",TEXT($E$4,"mm")," NĂM ",TEXT($E$4,"yyyy"))</f>
        <v>BẢNG CHẤM CÔNG THÁNG 02 NĂM 2017</v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40"/>
      <c r="AJ1" s="40"/>
      <c r="AK1" s="225" t="s">
        <v>76</v>
      </c>
      <c r="AL1" s="226"/>
      <c r="AM1" s="226"/>
      <c r="AN1" s="226"/>
      <c r="AO1" s="226"/>
      <c r="AP1" s="226"/>
      <c r="AQ1" s="227"/>
      <c r="AR1" s="42"/>
    </row>
    <row r="2" spans="1:89" ht="20.25">
      <c r="A2" s="121"/>
      <c r="B2" s="43"/>
      <c r="C2" s="43"/>
      <c r="D2" s="43"/>
      <c r="E2" s="43"/>
      <c r="F2" s="43"/>
      <c r="G2" s="43"/>
      <c r="H2" s="43"/>
      <c r="I2" s="43"/>
      <c r="J2" s="43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40"/>
      <c r="AJ2" s="40"/>
      <c r="AK2" s="81"/>
      <c r="AL2" s="44"/>
      <c r="AM2" s="44"/>
      <c r="AN2" s="44"/>
      <c r="AO2" s="44"/>
      <c r="AP2" s="44"/>
      <c r="AQ2" s="80"/>
      <c r="AR2" s="80"/>
    </row>
    <row r="3" spans="1:89" ht="21" customHeight="1">
      <c r="A3" s="121"/>
      <c r="B3" s="45"/>
      <c r="C3" s="45"/>
      <c r="D3" s="46"/>
      <c r="E3" s="46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40"/>
      <c r="AJ3" s="40"/>
      <c r="AK3" s="81"/>
      <c r="AL3" s="42"/>
      <c r="AM3" s="42"/>
      <c r="AN3" s="42"/>
      <c r="AO3" s="42"/>
      <c r="AP3" s="42"/>
      <c r="AQ3" s="47"/>
      <c r="AR3" s="47"/>
    </row>
    <row r="4" spans="1:89" ht="14.25" customHeight="1">
      <c r="A4" s="48"/>
      <c r="B4" s="48"/>
      <c r="C4" s="136"/>
      <c r="D4" s="135"/>
      <c r="E4" s="49">
        <v>42767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1"/>
      <c r="AI4" s="48"/>
      <c r="AJ4" s="48"/>
      <c r="AK4" s="82"/>
      <c r="AL4" s="48"/>
      <c r="AM4" s="48"/>
      <c r="AN4" s="48"/>
      <c r="AO4" s="48"/>
      <c r="AP4" s="48"/>
      <c r="AQ4" s="48"/>
      <c r="AR4" s="86"/>
    </row>
    <row r="5" spans="1:89" s="52" customFormat="1" ht="18.75" customHeight="1">
      <c r="A5" s="228" t="s">
        <v>25</v>
      </c>
      <c r="B5" s="228" t="s">
        <v>3</v>
      </c>
      <c r="C5" s="228" t="s">
        <v>1</v>
      </c>
      <c r="D5" s="230" t="s">
        <v>26</v>
      </c>
      <c r="E5" s="228" t="s">
        <v>27</v>
      </c>
      <c r="F5" s="100">
        <f>+E4</f>
        <v>42767</v>
      </c>
      <c r="G5" s="100">
        <f t="shared" ref="G5:AG5" si="0">F5+1</f>
        <v>42768</v>
      </c>
      <c r="H5" s="100">
        <f t="shared" si="0"/>
        <v>42769</v>
      </c>
      <c r="I5" s="100">
        <f t="shared" si="0"/>
        <v>42770</v>
      </c>
      <c r="J5" s="100">
        <f t="shared" si="0"/>
        <v>42771</v>
      </c>
      <c r="K5" s="100">
        <f t="shared" si="0"/>
        <v>42772</v>
      </c>
      <c r="L5" s="100">
        <f t="shared" si="0"/>
        <v>42773</v>
      </c>
      <c r="M5" s="100">
        <f t="shared" si="0"/>
        <v>42774</v>
      </c>
      <c r="N5" s="100">
        <f t="shared" si="0"/>
        <v>42775</v>
      </c>
      <c r="O5" s="100">
        <f t="shared" si="0"/>
        <v>42776</v>
      </c>
      <c r="P5" s="100">
        <f t="shared" si="0"/>
        <v>42777</v>
      </c>
      <c r="Q5" s="100">
        <f t="shared" si="0"/>
        <v>42778</v>
      </c>
      <c r="R5" s="100">
        <f t="shared" si="0"/>
        <v>42779</v>
      </c>
      <c r="S5" s="100">
        <f t="shared" si="0"/>
        <v>42780</v>
      </c>
      <c r="T5" s="100">
        <f t="shared" si="0"/>
        <v>42781</v>
      </c>
      <c r="U5" s="100">
        <f t="shared" si="0"/>
        <v>42782</v>
      </c>
      <c r="V5" s="100">
        <f t="shared" si="0"/>
        <v>42783</v>
      </c>
      <c r="W5" s="100">
        <f t="shared" si="0"/>
        <v>42784</v>
      </c>
      <c r="X5" s="100">
        <f t="shared" si="0"/>
        <v>42785</v>
      </c>
      <c r="Y5" s="100">
        <f t="shared" si="0"/>
        <v>42786</v>
      </c>
      <c r="Z5" s="100">
        <f t="shared" si="0"/>
        <v>42787</v>
      </c>
      <c r="AA5" s="100">
        <f t="shared" si="0"/>
        <v>42788</v>
      </c>
      <c r="AB5" s="100">
        <f t="shared" si="0"/>
        <v>42789</v>
      </c>
      <c r="AC5" s="100">
        <f t="shared" si="0"/>
        <v>42790</v>
      </c>
      <c r="AD5" s="100">
        <f t="shared" si="0"/>
        <v>42791</v>
      </c>
      <c r="AE5" s="100">
        <f t="shared" si="0"/>
        <v>42792</v>
      </c>
      <c r="AF5" s="100">
        <f t="shared" si="0"/>
        <v>42793</v>
      </c>
      <c r="AG5" s="100">
        <f t="shared" si="0"/>
        <v>42794</v>
      </c>
      <c r="AH5" s="100">
        <f>AG5+1</f>
        <v>42795</v>
      </c>
      <c r="AI5" s="231" t="s">
        <v>14</v>
      </c>
      <c r="AJ5" s="232"/>
      <c r="AK5" s="233"/>
      <c r="AL5" s="234" t="s">
        <v>38</v>
      </c>
      <c r="AM5" s="234" t="s">
        <v>34</v>
      </c>
      <c r="AN5" s="234" t="s">
        <v>35</v>
      </c>
      <c r="AO5" s="234" t="s">
        <v>36</v>
      </c>
      <c r="AP5" s="234" t="s">
        <v>37</v>
      </c>
      <c r="AQ5" s="230" t="s">
        <v>0</v>
      </c>
      <c r="AR5" s="236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2" customFormat="1" ht="39.75" customHeight="1">
      <c r="A6" s="229"/>
      <c r="B6" s="229"/>
      <c r="C6" s="229"/>
      <c r="D6" s="229"/>
      <c r="E6" s="229"/>
      <c r="F6" s="151" t="str">
        <f>CHOOSE(WEEKDAY(F5),"C.Nhật","T.Hai","T.Ba","T.Tư","T.Năm","T.Sáu","T.Bảy")</f>
        <v>T.Tư</v>
      </c>
      <c r="G6" s="151" t="str">
        <f t="shared" ref="G6:AH6" si="1">CHOOSE(WEEKDAY(G5),"C.Nhật","T.Hai","T.Ba","T.Tư","T.Năm","T.Sáu","T.Bảy")</f>
        <v>T.Năm</v>
      </c>
      <c r="H6" s="151" t="str">
        <f t="shared" si="1"/>
        <v>T.Sáu</v>
      </c>
      <c r="I6" s="151" t="str">
        <f t="shared" si="1"/>
        <v>T.Bảy</v>
      </c>
      <c r="J6" s="151" t="str">
        <f t="shared" si="1"/>
        <v>C.Nhật</v>
      </c>
      <c r="K6" s="151" t="str">
        <f t="shared" si="1"/>
        <v>T.Hai</v>
      </c>
      <c r="L6" s="151" t="str">
        <f t="shared" si="1"/>
        <v>T.Ba</v>
      </c>
      <c r="M6" s="151" t="str">
        <f t="shared" si="1"/>
        <v>T.Tư</v>
      </c>
      <c r="N6" s="151" t="str">
        <f t="shared" si="1"/>
        <v>T.Năm</v>
      </c>
      <c r="O6" s="151" t="str">
        <f t="shared" si="1"/>
        <v>T.Sáu</v>
      </c>
      <c r="P6" s="151" t="str">
        <f t="shared" si="1"/>
        <v>T.Bảy</v>
      </c>
      <c r="Q6" s="151" t="str">
        <f t="shared" si="1"/>
        <v>C.Nhật</v>
      </c>
      <c r="R6" s="151" t="str">
        <f t="shared" si="1"/>
        <v>T.Hai</v>
      </c>
      <c r="S6" s="151" t="str">
        <f t="shared" si="1"/>
        <v>T.Ba</v>
      </c>
      <c r="T6" s="151" t="str">
        <f t="shared" si="1"/>
        <v>T.Tư</v>
      </c>
      <c r="U6" s="151" t="str">
        <f t="shared" si="1"/>
        <v>T.Năm</v>
      </c>
      <c r="V6" s="151" t="str">
        <f t="shared" si="1"/>
        <v>T.Sáu</v>
      </c>
      <c r="W6" s="151" t="str">
        <f t="shared" si="1"/>
        <v>T.Bảy</v>
      </c>
      <c r="X6" s="151" t="str">
        <f t="shared" si="1"/>
        <v>C.Nhật</v>
      </c>
      <c r="Y6" s="151" t="str">
        <f t="shared" si="1"/>
        <v>T.Hai</v>
      </c>
      <c r="Z6" s="151" t="str">
        <f t="shared" si="1"/>
        <v>T.Ba</v>
      </c>
      <c r="AA6" s="151" t="str">
        <f t="shared" si="1"/>
        <v>T.Tư</v>
      </c>
      <c r="AB6" s="151" t="str">
        <f t="shared" si="1"/>
        <v>T.Năm</v>
      </c>
      <c r="AC6" s="151" t="str">
        <f t="shared" si="1"/>
        <v>T.Sáu</v>
      </c>
      <c r="AD6" s="151" t="str">
        <f t="shared" si="1"/>
        <v>T.Bảy</v>
      </c>
      <c r="AE6" s="151" t="str">
        <f t="shared" si="1"/>
        <v>C.Nhật</v>
      </c>
      <c r="AF6" s="151" t="str">
        <f t="shared" si="1"/>
        <v>T.Hai</v>
      </c>
      <c r="AG6" s="151" t="str">
        <f t="shared" si="1"/>
        <v>T.Ba</v>
      </c>
      <c r="AH6" s="151" t="str">
        <f t="shared" si="1"/>
        <v>T.Tư</v>
      </c>
      <c r="AI6" s="152" t="s">
        <v>15</v>
      </c>
      <c r="AJ6" s="152" t="s">
        <v>28</v>
      </c>
      <c r="AK6" s="153" t="s">
        <v>16</v>
      </c>
      <c r="AL6" s="235"/>
      <c r="AM6" s="235"/>
      <c r="AN6" s="235"/>
      <c r="AO6" s="235"/>
      <c r="AP6" s="235"/>
      <c r="AQ6" s="229"/>
      <c r="AR6" s="236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2" customFormat="1" ht="12.75" customHeight="1">
      <c r="A7" s="154">
        <v>1</v>
      </c>
      <c r="B7" s="154">
        <v>1</v>
      </c>
      <c r="C7" s="154">
        <v>2</v>
      </c>
      <c r="D7" s="154">
        <v>3</v>
      </c>
      <c r="E7" s="154">
        <v>4</v>
      </c>
      <c r="F7" s="154">
        <v>5</v>
      </c>
      <c r="G7" s="154">
        <v>6</v>
      </c>
      <c r="H7" s="154">
        <v>7</v>
      </c>
      <c r="I7" s="154">
        <v>8</v>
      </c>
      <c r="J7" s="154">
        <v>9</v>
      </c>
      <c r="K7" s="154">
        <v>10</v>
      </c>
      <c r="L7" s="154">
        <v>11</v>
      </c>
      <c r="M7" s="154">
        <v>12</v>
      </c>
      <c r="N7" s="154">
        <v>13</v>
      </c>
      <c r="O7" s="154">
        <v>14</v>
      </c>
      <c r="P7" s="154">
        <v>15</v>
      </c>
      <c r="Q7" s="154">
        <v>16</v>
      </c>
      <c r="R7" s="154">
        <v>17</v>
      </c>
      <c r="S7" s="154">
        <v>18</v>
      </c>
      <c r="T7" s="154">
        <v>19</v>
      </c>
      <c r="U7" s="154">
        <v>20</v>
      </c>
      <c r="V7" s="154">
        <v>21</v>
      </c>
      <c r="W7" s="154">
        <v>22</v>
      </c>
      <c r="X7" s="154">
        <v>23</v>
      </c>
      <c r="Y7" s="154">
        <v>24</v>
      </c>
      <c r="Z7" s="154">
        <v>25</v>
      </c>
      <c r="AA7" s="154">
        <v>26</v>
      </c>
      <c r="AB7" s="154">
        <v>27</v>
      </c>
      <c r="AC7" s="154">
        <v>28</v>
      </c>
      <c r="AD7" s="154">
        <v>29</v>
      </c>
      <c r="AE7" s="154">
        <v>30</v>
      </c>
      <c r="AF7" s="154">
        <v>31</v>
      </c>
      <c r="AG7" s="154">
        <v>32</v>
      </c>
      <c r="AH7" s="154">
        <v>33</v>
      </c>
      <c r="AI7" s="154">
        <v>34</v>
      </c>
      <c r="AJ7" s="154">
        <v>35</v>
      </c>
      <c r="AK7" s="154">
        <v>36</v>
      </c>
      <c r="AL7" s="154">
        <v>37</v>
      </c>
      <c r="AM7" s="154">
        <v>38</v>
      </c>
      <c r="AN7" s="154">
        <v>39</v>
      </c>
      <c r="AO7" s="154">
        <v>40</v>
      </c>
      <c r="AP7" s="154">
        <v>41</v>
      </c>
      <c r="AQ7" s="154">
        <v>42</v>
      </c>
      <c r="AR7" s="180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57" customFormat="1" ht="21" customHeight="1">
      <c r="A8" s="155" t="s">
        <v>66</v>
      </c>
      <c r="B8" s="158" t="s">
        <v>75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60"/>
      <c r="AR8" s="156"/>
    </row>
    <row r="9" spans="1:89" s="52" customFormat="1" ht="18" customHeight="1">
      <c r="A9" s="219">
        <v>1</v>
      </c>
      <c r="B9" s="219" t="s">
        <v>72</v>
      </c>
      <c r="C9" s="221" t="str">
        <f>VLOOKUP(B9,DS,2,0)</f>
        <v>Nguyễn Phước Bảo Việt Hùng</v>
      </c>
      <c r="D9" s="223" t="str">
        <f>VLOOKUP(B9,DS,3,0)</f>
        <v>Kinh Doanh</v>
      </c>
      <c r="E9" s="53" t="s">
        <v>29</v>
      </c>
      <c r="F9" s="125"/>
      <c r="G9" s="125"/>
      <c r="H9" s="125">
        <v>8</v>
      </c>
      <c r="I9" s="125">
        <v>8</v>
      </c>
      <c r="J9" s="125"/>
      <c r="K9" s="125">
        <v>8</v>
      </c>
      <c r="L9" s="125">
        <v>8</v>
      </c>
      <c r="M9" s="125">
        <v>8</v>
      </c>
      <c r="N9" s="125">
        <v>8</v>
      </c>
      <c r="O9" s="125">
        <v>8</v>
      </c>
      <c r="P9" s="125">
        <v>8</v>
      </c>
      <c r="Q9" s="125"/>
      <c r="R9" s="125">
        <v>8</v>
      </c>
      <c r="S9" s="125">
        <v>8</v>
      </c>
      <c r="T9" s="125">
        <v>8</v>
      </c>
      <c r="U9" s="125">
        <v>8</v>
      </c>
      <c r="V9" s="125">
        <v>8</v>
      </c>
      <c r="W9" s="125">
        <v>8</v>
      </c>
      <c r="X9" s="125"/>
      <c r="Y9" s="125">
        <v>8</v>
      </c>
      <c r="Z9" s="125">
        <v>8</v>
      </c>
      <c r="AA9" s="125">
        <v>8</v>
      </c>
      <c r="AB9" s="125">
        <v>8</v>
      </c>
      <c r="AC9" s="125">
        <v>8</v>
      </c>
      <c r="AD9" s="125">
        <v>8</v>
      </c>
      <c r="AE9" s="125"/>
      <c r="AF9" s="125">
        <v>8</v>
      </c>
      <c r="AG9" s="125">
        <v>8</v>
      </c>
      <c r="AH9" s="125"/>
      <c r="AI9" s="217">
        <f>((SUM(F9:AH9))/8)-(SUMIF($F$6:$AH$6,"C.Nhật",F9:AH9)/8)</f>
        <v>22</v>
      </c>
      <c r="AJ9" s="217">
        <f>SUM(F10:AH10)/8*1.5</f>
        <v>0</v>
      </c>
      <c r="AK9" s="237">
        <f>SUMIF($F$6:$AH$6,"C.Nhật",$F9:$AH10)/8*2</f>
        <v>0</v>
      </c>
      <c r="AL9" s="213">
        <f>SUM(AI9:AK10)</f>
        <v>22</v>
      </c>
      <c r="AM9" s="239">
        <v>0</v>
      </c>
      <c r="AN9" s="213"/>
      <c r="AO9" s="213"/>
      <c r="AP9" s="213"/>
      <c r="AQ9" s="215"/>
      <c r="AR9" s="180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2" customFormat="1" ht="18" customHeight="1">
      <c r="A10" s="220"/>
      <c r="B10" s="220"/>
      <c r="C10" s="222"/>
      <c r="D10" s="224"/>
      <c r="E10" s="54" t="s">
        <v>28</v>
      </c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218"/>
      <c r="AJ10" s="218"/>
      <c r="AK10" s="238"/>
      <c r="AL10" s="214"/>
      <c r="AM10" s="240"/>
      <c r="AN10" s="214"/>
      <c r="AO10" s="214"/>
      <c r="AP10" s="214"/>
      <c r="AQ10" s="216"/>
      <c r="AR10" s="180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2" customFormat="1" ht="18" customHeight="1">
      <c r="A11" s="219">
        <v>2</v>
      </c>
      <c r="B11" s="219" t="s">
        <v>73</v>
      </c>
      <c r="C11" s="221" t="str">
        <f>VLOOKUP(B11,DS,2,0)</f>
        <v>Mai Thị Hường</v>
      </c>
      <c r="D11" s="223" t="str">
        <f>VLOOKUP(B11,DS,3,0)</f>
        <v>Kế Toán</v>
      </c>
      <c r="E11" s="53" t="s">
        <v>29</v>
      </c>
      <c r="F11" s="125"/>
      <c r="G11" s="125"/>
      <c r="H11" s="125">
        <v>8</v>
      </c>
      <c r="I11" s="125">
        <v>8</v>
      </c>
      <c r="J11" s="125"/>
      <c r="K11" s="125">
        <v>8</v>
      </c>
      <c r="L11" s="125">
        <v>8</v>
      </c>
      <c r="M11" s="125">
        <v>8</v>
      </c>
      <c r="N11" s="125">
        <v>8</v>
      </c>
      <c r="O11" s="125">
        <v>8</v>
      </c>
      <c r="P11" s="125">
        <v>8</v>
      </c>
      <c r="Q11" s="125"/>
      <c r="R11" s="125">
        <v>8</v>
      </c>
      <c r="S11" s="125">
        <v>8</v>
      </c>
      <c r="T11" s="125">
        <v>8</v>
      </c>
      <c r="U11" s="125">
        <v>8</v>
      </c>
      <c r="V11" s="125">
        <v>8</v>
      </c>
      <c r="W11" s="125">
        <v>8</v>
      </c>
      <c r="X11" s="125"/>
      <c r="Y11" s="125">
        <v>8</v>
      </c>
      <c r="Z11" s="125">
        <v>8</v>
      </c>
      <c r="AA11" s="125">
        <v>8</v>
      </c>
      <c r="AB11" s="125">
        <v>8</v>
      </c>
      <c r="AC11" s="125">
        <v>8</v>
      </c>
      <c r="AD11" s="125">
        <v>8</v>
      </c>
      <c r="AE11" s="125"/>
      <c r="AF11" s="125">
        <v>8</v>
      </c>
      <c r="AG11" s="125">
        <v>8</v>
      </c>
      <c r="AH11" s="125"/>
      <c r="AI11" s="217">
        <f>((SUM(F11:AH11))/8)-(SUMIF($F$6:$AH$6,"C.Nhật",F11:AH11)/8)</f>
        <v>22</v>
      </c>
      <c r="AJ11" s="217">
        <f>SUM(F12:AH12)/8*1.5</f>
        <v>0</v>
      </c>
      <c r="AK11" s="237">
        <f>SUMIF($F$6:$AH$6,"C.Nhật",$F11:$AH12)/8*2</f>
        <v>0</v>
      </c>
      <c r="AL11" s="213">
        <f>SUM(AI11:AK12)</f>
        <v>22</v>
      </c>
      <c r="AM11" s="239">
        <v>0</v>
      </c>
      <c r="AN11" s="213"/>
      <c r="AO11" s="213"/>
      <c r="AP11" s="213"/>
      <c r="AQ11" s="215"/>
      <c r="AR11" s="18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2" customFormat="1" ht="18" customHeight="1">
      <c r="A12" s="220"/>
      <c r="B12" s="220"/>
      <c r="C12" s="222"/>
      <c r="D12" s="224"/>
      <c r="E12" s="54" t="s">
        <v>28</v>
      </c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218"/>
      <c r="AJ12" s="218"/>
      <c r="AK12" s="238"/>
      <c r="AL12" s="214"/>
      <c r="AM12" s="240"/>
      <c r="AN12" s="214"/>
      <c r="AO12" s="214"/>
      <c r="AP12" s="214"/>
      <c r="AQ12" s="216"/>
      <c r="AR12" s="188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57" customFormat="1" ht="21" customHeight="1">
      <c r="A13" s="155" t="s">
        <v>67</v>
      </c>
      <c r="B13" s="158" t="s">
        <v>71</v>
      </c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60"/>
      <c r="AR13" s="156"/>
    </row>
    <row r="14" spans="1:89" s="52" customFormat="1" ht="18" customHeight="1">
      <c r="A14" s="219">
        <v>1</v>
      </c>
      <c r="B14" s="219" t="s">
        <v>74</v>
      </c>
      <c r="C14" s="221" t="str">
        <f>VLOOKUP(B14,DS,2,0)</f>
        <v>Thạch Huy Chạch</v>
      </c>
      <c r="D14" s="223" t="str">
        <f>VLOOKUP(B14,DS,3,0)</f>
        <v>Công nhân</v>
      </c>
      <c r="E14" s="53" t="s">
        <v>29</v>
      </c>
      <c r="F14" s="125"/>
      <c r="G14" s="125"/>
      <c r="H14" s="125">
        <v>8</v>
      </c>
      <c r="I14" s="125">
        <v>8</v>
      </c>
      <c r="J14" s="125"/>
      <c r="K14" s="125">
        <v>8</v>
      </c>
      <c r="L14" s="125">
        <v>8</v>
      </c>
      <c r="M14" s="125">
        <v>8</v>
      </c>
      <c r="N14" s="125">
        <v>8</v>
      </c>
      <c r="O14" s="125">
        <v>8</v>
      </c>
      <c r="P14" s="125">
        <v>8</v>
      </c>
      <c r="Q14" s="125"/>
      <c r="R14" s="125">
        <v>8</v>
      </c>
      <c r="S14" s="125">
        <v>8</v>
      </c>
      <c r="T14" s="125">
        <v>8</v>
      </c>
      <c r="U14" s="125">
        <v>8</v>
      </c>
      <c r="V14" s="125">
        <v>8</v>
      </c>
      <c r="W14" s="125">
        <v>8</v>
      </c>
      <c r="X14" s="125"/>
      <c r="Y14" s="125">
        <v>8</v>
      </c>
      <c r="Z14" s="125">
        <v>8</v>
      </c>
      <c r="AA14" s="125">
        <v>8</v>
      </c>
      <c r="AB14" s="125">
        <v>8</v>
      </c>
      <c r="AC14" s="125">
        <v>8</v>
      </c>
      <c r="AD14" s="125">
        <v>8</v>
      </c>
      <c r="AE14" s="125"/>
      <c r="AF14" s="125">
        <v>8</v>
      </c>
      <c r="AG14" s="125">
        <v>8</v>
      </c>
      <c r="AH14" s="125"/>
      <c r="AI14" s="217">
        <f>((SUM(F14:AH14))/8)-(SUMIF($F$6:$AH$6,"C.Nhật",F14:AH14)/8)</f>
        <v>22</v>
      </c>
      <c r="AJ14" s="217">
        <f>SUM(F15:AH15)/8*1.5</f>
        <v>0</v>
      </c>
      <c r="AK14" s="237">
        <f>SUMIF($F$6:$AH$6,"C.Nhật",$F14:$AH15)/8*2</f>
        <v>0</v>
      </c>
      <c r="AL14" s="213">
        <f>SUM(AI14:AK15)</f>
        <v>22</v>
      </c>
      <c r="AM14" s="239">
        <v>0</v>
      </c>
      <c r="AN14" s="213"/>
      <c r="AO14" s="213"/>
      <c r="AP14" s="213"/>
      <c r="AQ14" s="215"/>
      <c r="AR14" s="180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52" customFormat="1" ht="18" customHeight="1">
      <c r="A15" s="220"/>
      <c r="B15" s="220"/>
      <c r="C15" s="222"/>
      <c r="D15" s="224"/>
      <c r="E15" s="54" t="s">
        <v>28</v>
      </c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218"/>
      <c r="AJ15" s="218"/>
      <c r="AK15" s="238"/>
      <c r="AL15" s="214"/>
      <c r="AM15" s="240"/>
      <c r="AN15" s="214"/>
      <c r="AO15" s="214"/>
      <c r="AP15" s="214"/>
      <c r="AQ15" s="216"/>
      <c r="AR15" s="180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55" customFormat="1" ht="12.75">
      <c r="A16" s="14"/>
      <c r="B16" s="56"/>
      <c r="C16" s="4"/>
      <c r="D16" s="96"/>
      <c r="E16" s="4"/>
      <c r="F16" s="60"/>
      <c r="G16" s="60"/>
      <c r="H16" s="57"/>
      <c r="I16" s="57"/>
      <c r="J16" s="102"/>
      <c r="K16" s="60"/>
      <c r="L16" s="57"/>
      <c r="M16" s="60"/>
      <c r="N16" s="60"/>
      <c r="O16" s="60"/>
      <c r="P16" s="60"/>
      <c r="Q16" s="57"/>
      <c r="R16" s="60"/>
      <c r="S16" s="60"/>
      <c r="T16" s="102"/>
      <c r="U16" s="60"/>
      <c r="V16" s="60"/>
      <c r="W16" s="60"/>
      <c r="X16" s="56"/>
      <c r="Y16" s="60"/>
      <c r="Z16" s="60"/>
      <c r="AA16" s="60"/>
      <c r="AB16" s="60"/>
      <c r="AC16" s="60"/>
      <c r="AD16" s="57"/>
      <c r="AE16" s="60"/>
      <c r="AF16" s="60"/>
      <c r="AG16" s="60"/>
      <c r="AH16" s="60"/>
      <c r="AI16" s="4"/>
      <c r="AJ16" s="4"/>
      <c r="AK16" s="83"/>
      <c r="AL16" s="59"/>
      <c r="AM16" s="59"/>
      <c r="AN16" s="59"/>
      <c r="AO16" s="59"/>
      <c r="AP16" s="59"/>
      <c r="AQ16" s="4"/>
      <c r="AR16" s="88"/>
    </row>
    <row r="17" spans="1:91" s="55" customFormat="1" ht="12.75">
      <c r="A17" s="14"/>
      <c r="B17" s="56"/>
      <c r="C17" s="14" t="s">
        <v>13</v>
      </c>
      <c r="D17" s="96"/>
      <c r="E17" s="4"/>
      <c r="F17" s="60"/>
      <c r="G17" s="60"/>
      <c r="H17" s="57"/>
      <c r="I17" s="57"/>
      <c r="J17" s="102"/>
      <c r="K17" s="60"/>
      <c r="L17" s="57"/>
      <c r="M17" s="60"/>
      <c r="N17" s="60"/>
      <c r="O17" s="60"/>
      <c r="P17" s="60"/>
      <c r="Q17" s="57"/>
      <c r="R17" s="60"/>
      <c r="S17" s="60"/>
      <c r="T17" s="102"/>
      <c r="U17" s="60"/>
      <c r="V17" s="60"/>
      <c r="W17" s="60"/>
      <c r="X17" s="56"/>
      <c r="Y17" s="60"/>
      <c r="Z17" s="60"/>
      <c r="AA17" s="60"/>
      <c r="AB17" s="60"/>
      <c r="AC17" s="60"/>
      <c r="AD17" s="57"/>
      <c r="AE17" s="60"/>
      <c r="AF17" s="60"/>
      <c r="AG17" s="60"/>
      <c r="AH17" s="60"/>
      <c r="AI17" s="4"/>
      <c r="AJ17" s="4"/>
      <c r="AK17" s="83"/>
      <c r="AL17" s="59"/>
      <c r="AM17" s="59"/>
      <c r="AN17" s="59"/>
      <c r="AO17" s="59"/>
      <c r="AP17" s="59"/>
      <c r="AQ17" s="4"/>
      <c r="AR17" s="88"/>
    </row>
    <row r="18" spans="1:91" s="55" customFormat="1" ht="12.75">
      <c r="A18" s="12"/>
      <c r="B18" s="12"/>
      <c r="C18" s="4"/>
      <c r="D18" s="96"/>
      <c r="E18" s="4"/>
      <c r="F18" s="60"/>
      <c r="G18" s="60"/>
      <c r="H18" s="103"/>
      <c r="I18" s="103"/>
      <c r="J18" s="103"/>
      <c r="K18" s="60"/>
      <c r="L18" s="103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103"/>
      <c r="AE18" s="60"/>
      <c r="AF18" s="60"/>
      <c r="AG18" s="60"/>
      <c r="AH18" s="60"/>
      <c r="AI18" s="4"/>
      <c r="AJ18" s="4"/>
      <c r="AK18" s="83"/>
      <c r="AL18" s="61"/>
      <c r="AM18" s="61"/>
      <c r="AN18" s="61"/>
      <c r="AO18" s="61"/>
      <c r="AP18" s="61"/>
      <c r="AQ18" s="4"/>
      <c r="AR18" s="88"/>
    </row>
    <row r="19" spans="1:91" s="58" customFormat="1" ht="15" customHeight="1">
      <c r="A19" s="12"/>
      <c r="B19" s="12"/>
      <c r="C19" s="4"/>
      <c r="D19" s="96"/>
      <c r="E19" s="4"/>
      <c r="F19" s="60"/>
      <c r="G19" s="60"/>
      <c r="H19" s="103"/>
      <c r="I19" s="103"/>
      <c r="J19" s="103"/>
      <c r="K19" s="60"/>
      <c r="L19" s="103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103"/>
      <c r="AE19" s="60"/>
      <c r="AF19" s="60"/>
      <c r="AG19" s="60"/>
      <c r="AH19" s="60"/>
      <c r="AI19" s="4"/>
      <c r="AJ19" s="4"/>
      <c r="AK19" s="83"/>
      <c r="AL19" s="61"/>
      <c r="AM19" s="61"/>
      <c r="AN19" s="61"/>
      <c r="AO19" s="61"/>
      <c r="AP19" s="61"/>
      <c r="AQ19" s="4"/>
      <c r="AR19" s="4"/>
    </row>
    <row r="20" spans="1:91" s="58" customFormat="1" ht="11.25">
      <c r="A20" s="12"/>
      <c r="B20" s="12"/>
      <c r="C20" s="4"/>
      <c r="D20" s="96"/>
      <c r="E20" s="4"/>
      <c r="F20" s="60"/>
      <c r="G20" s="60"/>
      <c r="H20" s="103"/>
      <c r="I20" s="103"/>
      <c r="J20" s="103"/>
      <c r="K20" s="60"/>
      <c r="L20" s="103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103"/>
      <c r="AE20" s="60"/>
      <c r="AF20" s="60"/>
      <c r="AG20" s="60"/>
      <c r="AH20" s="60"/>
      <c r="AI20" s="4"/>
      <c r="AJ20" s="4"/>
      <c r="AK20" s="83"/>
      <c r="AL20" s="61"/>
      <c r="AM20" s="61"/>
      <c r="AN20" s="61"/>
      <c r="AO20" s="61"/>
      <c r="AP20" s="61"/>
      <c r="AQ20" s="4"/>
      <c r="AR20" s="4"/>
    </row>
    <row r="21" spans="1:91" s="58" customFormat="1" ht="11.25">
      <c r="A21" s="12"/>
      <c r="B21" s="12"/>
      <c r="C21" s="4"/>
      <c r="D21" s="96"/>
      <c r="E21" s="4"/>
      <c r="F21" s="60"/>
      <c r="G21" s="60"/>
      <c r="H21" s="103"/>
      <c r="I21" s="103"/>
      <c r="J21" s="103"/>
      <c r="K21" s="60"/>
      <c r="L21" s="103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103"/>
      <c r="AE21" s="60"/>
      <c r="AF21" s="60"/>
      <c r="AG21" s="60"/>
      <c r="AH21" s="60"/>
      <c r="AI21" s="4"/>
      <c r="AJ21" s="4"/>
      <c r="AK21" s="83"/>
      <c r="AL21" s="61"/>
      <c r="AM21" s="61"/>
      <c r="AN21" s="61"/>
      <c r="AO21" s="61"/>
      <c r="AP21" s="61"/>
      <c r="AQ21" s="4"/>
      <c r="AR21" s="4"/>
    </row>
    <row r="22" spans="1:91" s="58" customFormat="1" ht="11.25">
      <c r="A22" s="10"/>
      <c r="B22" s="10"/>
      <c r="C22" s="14"/>
      <c r="D22" s="97"/>
      <c r="E22" s="62"/>
      <c r="F22" s="102"/>
      <c r="G22" s="104"/>
      <c r="H22" s="57"/>
      <c r="I22" s="57"/>
      <c r="J22" s="57"/>
      <c r="K22" s="104"/>
      <c r="L22" s="57"/>
      <c r="M22" s="104"/>
      <c r="N22" s="104"/>
      <c r="O22" s="104"/>
      <c r="P22" s="104"/>
      <c r="Q22" s="57"/>
      <c r="R22" s="102"/>
      <c r="S22" s="104"/>
      <c r="T22" s="104"/>
      <c r="U22" s="57"/>
      <c r="V22" s="104"/>
      <c r="W22" s="104"/>
      <c r="X22" s="57"/>
      <c r="Y22" s="104"/>
      <c r="Z22" s="104"/>
      <c r="AA22" s="104"/>
      <c r="AB22" s="104"/>
      <c r="AC22" s="104"/>
      <c r="AD22" s="57"/>
      <c r="AE22" s="104"/>
      <c r="AF22" s="104"/>
      <c r="AG22" s="104"/>
      <c r="AH22" s="104"/>
      <c r="AI22" s="62"/>
      <c r="AK22" s="84"/>
      <c r="AL22" s="10"/>
      <c r="AM22" s="10"/>
      <c r="AN22" s="10"/>
      <c r="AO22" s="10"/>
      <c r="AP22" s="10"/>
      <c r="AQ22" s="14"/>
      <c r="AR22" s="4"/>
    </row>
    <row r="23" spans="1:91" s="58" customFormat="1" ht="12.75">
      <c r="A23" s="2"/>
      <c r="B23" s="2" t="s">
        <v>0</v>
      </c>
      <c r="C23" s="2"/>
      <c r="D23" s="178"/>
      <c r="E23" s="2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6"/>
      <c r="AI23" s="2"/>
      <c r="AJ23" s="2"/>
      <c r="AK23" s="85"/>
      <c r="AL23" s="2"/>
      <c r="AM23" s="2"/>
      <c r="AN23" s="2"/>
      <c r="AO23" s="2"/>
      <c r="AP23" s="2"/>
      <c r="AQ23" s="2"/>
      <c r="AR23" s="4"/>
    </row>
    <row r="24" spans="1:91" s="58" customFormat="1" ht="12.75">
      <c r="A24" s="2"/>
      <c r="B24" s="2"/>
      <c r="C24" s="2" t="s">
        <v>39</v>
      </c>
      <c r="D24" s="178"/>
      <c r="E24" s="2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6"/>
      <c r="AI24" s="2"/>
      <c r="AJ24" s="2"/>
      <c r="AK24" s="85"/>
      <c r="AL24" s="2"/>
      <c r="AM24" s="2"/>
      <c r="AN24" s="2"/>
      <c r="AO24" s="2"/>
      <c r="AP24" s="2"/>
      <c r="AQ24" s="2"/>
      <c r="AR24" s="14"/>
    </row>
    <row r="25" spans="1:91" ht="15" customHeight="1">
      <c r="C25" s="2" t="s">
        <v>40</v>
      </c>
    </row>
    <row r="26" spans="1:91" ht="15" customHeight="1">
      <c r="C26" s="2" t="s">
        <v>41</v>
      </c>
    </row>
    <row r="27" spans="1:91" s="178" customFormat="1" ht="15" customHeight="1">
      <c r="A27" s="2"/>
      <c r="B27" s="2"/>
      <c r="C27" s="2" t="s">
        <v>42</v>
      </c>
      <c r="E27" s="2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6"/>
      <c r="AI27" s="2"/>
      <c r="AJ27" s="2"/>
      <c r="AK27" s="85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78" customFormat="1" ht="15" customHeight="1">
      <c r="A28" s="2"/>
      <c r="B28" s="2"/>
      <c r="C28" s="2" t="s">
        <v>43</v>
      </c>
      <c r="E28" s="2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6"/>
      <c r="AI28" s="2"/>
      <c r="AJ28" s="2"/>
      <c r="AK28" s="85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78" customFormat="1" ht="15" customHeight="1">
      <c r="A29" s="2"/>
      <c r="B29" s="2"/>
      <c r="C29" s="2" t="s">
        <v>44</v>
      </c>
      <c r="E29" s="2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6"/>
      <c r="AI29" s="2"/>
      <c r="AJ29" s="2"/>
      <c r="AK29" s="85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78" customFormat="1" ht="15" customHeight="1">
      <c r="A30" s="2"/>
      <c r="B30" s="2"/>
      <c r="C30" s="2" t="s">
        <v>45</v>
      </c>
      <c r="E30" s="2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6"/>
      <c r="AI30" s="2"/>
      <c r="AJ30" s="2"/>
      <c r="AK30" s="85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78" customFormat="1" ht="15" customHeight="1">
      <c r="A31" s="2"/>
      <c r="B31" s="2"/>
      <c r="C31" s="2" t="s">
        <v>46</v>
      </c>
      <c r="E31" s="2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6"/>
      <c r="AI31" s="2"/>
      <c r="AJ31" s="2"/>
      <c r="AK31" s="85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78" customFormat="1" ht="15" customHeight="1">
      <c r="A32" s="2"/>
      <c r="B32" s="2"/>
      <c r="C32" s="2" t="s">
        <v>47</v>
      </c>
      <c r="E32" s="2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  <c r="AI32" s="2"/>
      <c r="AJ32" s="2"/>
      <c r="AK32" s="85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18:J21 Q16:Q17" name="Range1_1_1_1"/>
    <protectedRange password="CC78" sqref="J22" name="Range1_3_1_1"/>
    <protectedRange password="CC78" sqref="A14:A15" name="Range1_1_2"/>
    <protectedRange password="CC78" sqref="A14:A15 C14:E15" name="Range1_6_2"/>
    <protectedRange password="CC78" sqref="B14:B15" name="Range1_4_2"/>
  </protectedRanges>
  <mergeCells count="53">
    <mergeCell ref="AN11:AN12"/>
    <mergeCell ref="AO11:AO12"/>
    <mergeCell ref="AP11:AP12"/>
    <mergeCell ref="AQ11:AQ12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  <mergeCell ref="AQ14:AQ15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</mergeCells>
  <conditionalFormatting sqref="F5:AH6 F9:G10 J9:AH10">
    <cfRule type="expression" dxfId="13" priority="24" stopIfTrue="1">
      <formula>IF(WEEKDAY(F$5)=1,TRUE,FALSE)</formula>
    </cfRule>
  </conditionalFormatting>
  <conditionalFormatting sqref="F14:G15 J14:AH15">
    <cfRule type="expression" dxfId="12" priority="7" stopIfTrue="1">
      <formula>IF(WEEKDAY(F$5)=1,TRUE,FALSE)</formula>
    </cfRule>
  </conditionalFormatting>
  <conditionalFormatting sqref="F11:G12 J11:AH12">
    <cfRule type="expression" dxfId="11" priority="4" stopIfTrue="1">
      <formula>IF(WEEKDAY(F$5)=1,TRUE,FALSE)</formula>
    </cfRule>
  </conditionalFormatting>
  <conditionalFormatting sqref="H9:I10">
    <cfRule type="expression" dxfId="10" priority="3" stopIfTrue="1">
      <formula>IF(WEEKDAY(H$5)=1,TRUE,FALSE)</formula>
    </cfRule>
  </conditionalFormatting>
  <conditionalFormatting sqref="H14:I15">
    <cfRule type="expression" dxfId="9" priority="2" stopIfTrue="1">
      <formula>IF(WEEKDAY(H$5)=1,TRUE,FALSE)</formula>
    </cfRule>
  </conditionalFormatting>
  <conditionalFormatting sqref="H11:I12">
    <cfRule type="expression" dxfId="8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Q17" activeCellId="1" sqref="Q13 Q17"/>
    </sheetView>
  </sheetViews>
  <sheetFormatPr defaultRowHeight="11.25"/>
  <cols>
    <col min="1" max="1" width="4.28515625" style="6" customWidth="1"/>
    <col min="2" max="2" width="8.42578125" style="6" customWidth="1"/>
    <col min="3" max="3" width="26" style="6" customWidth="1"/>
    <col min="4" max="4" width="10.8554687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6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1"/>
      <c r="B1" s="182"/>
      <c r="C1" s="182"/>
      <c r="D1" s="255" t="str">
        <f>"BẢNG THANH TOÁN LƯƠNG THÁNG"&amp;" "&amp;TEXT($E$4,"mm")&amp;" / "&amp;TEXT($E$4,"yyyy")</f>
        <v>BẢNG THANH TOÁN LƯƠNG THÁNG 02 / 2017</v>
      </c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6"/>
      <c r="P1" s="241" t="s">
        <v>76</v>
      </c>
      <c r="Q1" s="242"/>
      <c r="R1" s="243"/>
      <c r="S1" s="112" t="s">
        <v>49</v>
      </c>
      <c r="T1" s="94" t="s">
        <v>32</v>
      </c>
      <c r="U1" s="68"/>
      <c r="V1" s="68"/>
      <c r="W1" s="5"/>
      <c r="X1" s="5"/>
    </row>
    <row r="2" spans="1:29" s="4" customFormat="1" ht="15" customHeight="1">
      <c r="A2" s="121"/>
      <c r="B2" s="182"/>
      <c r="C2" s="182"/>
      <c r="D2" s="182"/>
      <c r="E2" s="66"/>
      <c r="F2" s="182"/>
      <c r="G2" s="182"/>
      <c r="H2" s="182"/>
      <c r="I2" s="182"/>
      <c r="J2" s="67"/>
      <c r="K2" s="182"/>
      <c r="L2" s="182"/>
      <c r="M2" s="182"/>
      <c r="N2" s="182"/>
      <c r="O2" s="182"/>
      <c r="P2" s="182"/>
      <c r="Q2" s="182"/>
      <c r="R2" s="44"/>
      <c r="S2" s="65">
        <f>MAX(F10:F17)</f>
        <v>22</v>
      </c>
      <c r="T2" s="95">
        <v>31</v>
      </c>
      <c r="U2" s="68"/>
      <c r="V2" s="68"/>
      <c r="W2" s="5"/>
      <c r="X2" s="5"/>
    </row>
    <row r="3" spans="1:29" s="4" customFormat="1" ht="15" customHeight="1">
      <c r="A3" s="121"/>
      <c r="B3" s="182"/>
      <c r="C3" s="182"/>
      <c r="D3" s="182"/>
      <c r="E3" s="66"/>
      <c r="F3" s="182"/>
      <c r="G3" s="182"/>
      <c r="H3" s="182"/>
      <c r="I3" s="182"/>
      <c r="J3" s="67"/>
      <c r="K3" s="182"/>
      <c r="L3" s="182"/>
      <c r="M3" s="182"/>
      <c r="N3" s="182"/>
      <c r="O3" s="182"/>
      <c r="P3" s="182"/>
      <c r="Q3" s="182"/>
      <c r="R3" s="44"/>
      <c r="S3" s="113"/>
      <c r="T3" s="114"/>
      <c r="U3" s="68"/>
      <c r="V3" s="68"/>
      <c r="W3" s="5"/>
      <c r="X3" s="5"/>
    </row>
    <row r="4" spans="1:29" s="89" customFormat="1" ht="14.25" customHeight="1">
      <c r="A4" s="87"/>
      <c r="B4" s="88"/>
      <c r="C4" s="88"/>
      <c r="D4" s="88"/>
      <c r="E4" s="165">
        <f>'CC -2'!$E$4</f>
        <v>42767</v>
      </c>
      <c r="F4" s="88"/>
      <c r="G4" s="88"/>
      <c r="H4" s="88"/>
      <c r="I4" s="88"/>
      <c r="J4" s="88"/>
      <c r="K4" s="88"/>
      <c r="L4" s="141">
        <v>0.08</v>
      </c>
      <c r="M4" s="141">
        <v>1.4999999999999999E-2</v>
      </c>
      <c r="N4" s="141">
        <v>0.01</v>
      </c>
      <c r="O4" s="88"/>
      <c r="P4" s="88"/>
      <c r="Q4" s="88"/>
      <c r="R4" s="88"/>
      <c r="S4" s="88"/>
      <c r="T4" s="90"/>
      <c r="U4" s="90"/>
      <c r="V4" s="90"/>
      <c r="W4" s="90"/>
      <c r="X4" s="90"/>
    </row>
    <row r="5" spans="1:29" s="21" customFormat="1" ht="24" customHeight="1">
      <c r="A5" s="244" t="s">
        <v>18</v>
      </c>
      <c r="B5" s="244" t="s">
        <v>19</v>
      </c>
      <c r="C5" s="208" t="s">
        <v>1</v>
      </c>
      <c r="D5" s="208" t="s">
        <v>2</v>
      </c>
      <c r="E5" s="211" t="s">
        <v>48</v>
      </c>
      <c r="F5" s="247" t="s">
        <v>23</v>
      </c>
      <c r="G5" s="248"/>
      <c r="H5" s="248"/>
      <c r="I5" s="248"/>
      <c r="J5" s="248"/>
      <c r="K5" s="249"/>
      <c r="L5" s="208" t="s">
        <v>5</v>
      </c>
      <c r="M5" s="208"/>
      <c r="N5" s="208"/>
      <c r="O5" s="246" t="s">
        <v>6</v>
      </c>
      <c r="P5" s="246" t="s">
        <v>7</v>
      </c>
      <c r="Q5" s="246" t="s">
        <v>8</v>
      </c>
      <c r="R5" s="209" t="s">
        <v>9</v>
      </c>
      <c r="S5" s="88"/>
      <c r="T5" s="22"/>
      <c r="U5" s="22"/>
      <c r="V5" s="5"/>
      <c r="W5" s="5"/>
      <c r="X5" s="5"/>
      <c r="Y5" s="4"/>
      <c r="Z5" s="4"/>
      <c r="AA5" s="4"/>
      <c r="AB5" s="4"/>
      <c r="AC5" s="4"/>
    </row>
    <row r="6" spans="1:29" s="21" customFormat="1" ht="33.75" customHeight="1">
      <c r="A6" s="245"/>
      <c r="B6" s="245"/>
      <c r="C6" s="208"/>
      <c r="D6" s="208"/>
      <c r="E6" s="211"/>
      <c r="F6" s="247" t="s">
        <v>50</v>
      </c>
      <c r="G6" s="249"/>
      <c r="H6" s="247" t="s">
        <v>69</v>
      </c>
      <c r="I6" s="248"/>
      <c r="J6" s="251" t="s">
        <v>24</v>
      </c>
      <c r="K6" s="246" t="s">
        <v>4</v>
      </c>
      <c r="L6" s="253" t="s">
        <v>11</v>
      </c>
      <c r="M6" s="246" t="s">
        <v>12</v>
      </c>
      <c r="N6" s="246" t="s">
        <v>30</v>
      </c>
      <c r="O6" s="250"/>
      <c r="P6" s="250"/>
      <c r="Q6" s="250"/>
      <c r="R6" s="210"/>
      <c r="S6" s="88"/>
      <c r="T6" s="22"/>
      <c r="U6" s="22"/>
      <c r="V6" s="5"/>
      <c r="W6" s="5"/>
      <c r="X6" s="5"/>
      <c r="Y6" s="4"/>
      <c r="Z6" s="4"/>
      <c r="AA6" s="4"/>
      <c r="AB6" s="4"/>
      <c r="AC6" s="4"/>
    </row>
    <row r="7" spans="1:29" s="21" customFormat="1" ht="35.25" customHeight="1">
      <c r="A7" s="245"/>
      <c r="B7" s="245"/>
      <c r="C7" s="246"/>
      <c r="D7" s="246"/>
      <c r="E7" s="211"/>
      <c r="F7" s="181" t="s">
        <v>33</v>
      </c>
      <c r="G7" s="179" t="s">
        <v>17</v>
      </c>
      <c r="H7" s="181" t="s">
        <v>33</v>
      </c>
      <c r="I7" s="110" t="s">
        <v>17</v>
      </c>
      <c r="J7" s="252"/>
      <c r="K7" s="250"/>
      <c r="L7" s="254"/>
      <c r="M7" s="250"/>
      <c r="N7" s="250"/>
      <c r="O7" s="250"/>
      <c r="P7" s="250"/>
      <c r="Q7" s="250"/>
      <c r="R7" s="210"/>
      <c r="S7" s="88"/>
      <c r="T7" s="22"/>
      <c r="U7" s="22"/>
      <c r="V7" s="5"/>
      <c r="W7" s="5"/>
      <c r="X7" s="5"/>
      <c r="Y7" s="4"/>
      <c r="Z7" s="4"/>
      <c r="AA7" s="4"/>
      <c r="AB7" s="4"/>
      <c r="AC7" s="4"/>
    </row>
    <row r="8" spans="1:29" s="70" customFormat="1" ht="12.75" customHeight="1">
      <c r="A8" s="69">
        <v>1</v>
      </c>
      <c r="B8" s="69">
        <v>1</v>
      </c>
      <c r="C8" s="69">
        <v>2</v>
      </c>
      <c r="D8" s="69">
        <v>3</v>
      </c>
      <c r="E8" s="69">
        <v>4</v>
      </c>
      <c r="F8" s="69">
        <v>5</v>
      </c>
      <c r="G8" s="69">
        <v>6</v>
      </c>
      <c r="H8" s="69">
        <v>7</v>
      </c>
      <c r="I8" s="69">
        <v>8</v>
      </c>
      <c r="J8" s="69">
        <v>9</v>
      </c>
      <c r="K8" s="69">
        <v>10</v>
      </c>
      <c r="L8" s="69">
        <v>13</v>
      </c>
      <c r="M8" s="69">
        <v>14</v>
      </c>
      <c r="N8" s="69">
        <v>15</v>
      </c>
      <c r="O8" s="69">
        <v>16</v>
      </c>
      <c r="P8" s="69">
        <v>17</v>
      </c>
      <c r="Q8" s="69">
        <v>18</v>
      </c>
      <c r="R8" s="69">
        <v>19</v>
      </c>
      <c r="S8" s="88"/>
      <c r="T8" s="71"/>
      <c r="U8" s="71"/>
      <c r="V8" s="72"/>
      <c r="W8" s="72"/>
      <c r="X8" s="72"/>
      <c r="Y8" s="73"/>
      <c r="Z8" s="73"/>
      <c r="AA8" s="73"/>
      <c r="AB8" s="73"/>
      <c r="AC8" s="73"/>
    </row>
    <row r="9" spans="1:29" s="70" customFormat="1" ht="24" customHeight="1">
      <c r="A9" s="164" t="s">
        <v>66</v>
      </c>
      <c r="B9" s="163" t="s">
        <v>77</v>
      </c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88"/>
      <c r="T9" s="71"/>
      <c r="U9" s="71"/>
      <c r="V9" s="72"/>
      <c r="W9" s="72"/>
      <c r="X9" s="72"/>
      <c r="Y9" s="73"/>
      <c r="Z9" s="73"/>
      <c r="AA9" s="73"/>
      <c r="AB9" s="73"/>
      <c r="AC9" s="73"/>
    </row>
    <row r="10" spans="1:29" s="27" customFormat="1" ht="24" customHeight="1">
      <c r="A10" s="29">
        <v>1</v>
      </c>
      <c r="B10" s="123" t="s">
        <v>72</v>
      </c>
      <c r="C10" s="74" t="str">
        <f>VLOOKUP(B10,DS,2,0)</f>
        <v>Nguyễn Phước Bảo Việt Hùng</v>
      </c>
      <c r="D10" s="98" t="str">
        <f>VLOOKUP(B10,DS,3,0)</f>
        <v>Kinh Doanh</v>
      </c>
      <c r="E10" s="75">
        <f>VLOOKUP(B10,DS,4,0)</f>
        <v>4012500</v>
      </c>
      <c r="F10" s="77">
        <f>VLOOKUP(B10,'CC -2'!$B$8:$AQ$15,34,0)</f>
        <v>22</v>
      </c>
      <c r="G10" s="127">
        <f>ROUND(E10/$S$2*F10,0)</f>
        <v>4012500</v>
      </c>
      <c r="H10" s="77">
        <f>(VLOOKUP(B10,'CC -2'!$B$8:$AQ$15,35,0)+VLOOKUP(B10,'CC -2'!$B$8:$AQ$15,36,0))</f>
        <v>0</v>
      </c>
      <c r="I10" s="127">
        <f>ROUND(E10/$S$2*H10,0)</f>
        <v>0</v>
      </c>
      <c r="J10" s="78">
        <f>F10+H10</f>
        <v>22</v>
      </c>
      <c r="K10" s="30">
        <f>G10+I10</f>
        <v>4012500</v>
      </c>
      <c r="L10" s="31">
        <f t="shared" ref="L10:N11" si="0">IF(VLOOKUP($B10,DS,11,0)="x",$E10*L$4,0)</f>
        <v>321000</v>
      </c>
      <c r="M10" s="31">
        <f t="shared" si="0"/>
        <v>60187.5</v>
      </c>
      <c r="N10" s="31">
        <f t="shared" si="0"/>
        <v>40125</v>
      </c>
      <c r="O10" s="30">
        <f>K10-SUM(L10:N10)</f>
        <v>3591187.5</v>
      </c>
      <c r="P10" s="30"/>
      <c r="Q10" s="36">
        <f>O10-P10</f>
        <v>3591187.5</v>
      </c>
      <c r="R10" s="30"/>
      <c r="S10" s="88"/>
      <c r="T10" s="28"/>
      <c r="U10" s="22"/>
      <c r="V10" s="5"/>
      <c r="W10" s="5"/>
      <c r="X10" s="5"/>
      <c r="Y10" s="4"/>
      <c r="Z10" s="4"/>
      <c r="AA10" s="4"/>
      <c r="AB10" s="4"/>
      <c r="AC10" s="4"/>
    </row>
    <row r="11" spans="1:29" s="27" customFormat="1" ht="24" customHeight="1">
      <c r="A11" s="29">
        <v>2</v>
      </c>
      <c r="B11" s="123" t="s">
        <v>73</v>
      </c>
      <c r="C11" s="74" t="str">
        <f>VLOOKUP(B11,DS,2,0)</f>
        <v>Mai Thị Hường</v>
      </c>
      <c r="D11" s="98" t="str">
        <f>VLOOKUP(B11,DS,3,0)</f>
        <v>Kế Toán</v>
      </c>
      <c r="E11" s="75">
        <f>VLOOKUP(B11,DS,4,0)</f>
        <v>4012500</v>
      </c>
      <c r="F11" s="77">
        <f>VLOOKUP(B11,'CC -2'!$B$8:$AQ$15,34,0)</f>
        <v>22</v>
      </c>
      <c r="G11" s="127">
        <f>ROUND(E11/$S$2*F11,0)</f>
        <v>4012500</v>
      </c>
      <c r="H11" s="77">
        <f>(VLOOKUP(B11,'CC -2'!$B$8:$AQ$15,35,0)+VLOOKUP(B11,'CC -2'!$B$8:$AQ$15,36,0))</f>
        <v>0</v>
      </c>
      <c r="I11" s="127">
        <f>ROUND(E11/$S$2*H11,0)</f>
        <v>0</v>
      </c>
      <c r="J11" s="78">
        <f>F11+H11</f>
        <v>22</v>
      </c>
      <c r="K11" s="30">
        <f>G11+I11</f>
        <v>4012500</v>
      </c>
      <c r="L11" s="31">
        <f t="shared" si="0"/>
        <v>321000</v>
      </c>
      <c r="M11" s="31">
        <f t="shared" si="0"/>
        <v>60187.5</v>
      </c>
      <c r="N11" s="31">
        <f t="shared" si="0"/>
        <v>40125</v>
      </c>
      <c r="O11" s="30">
        <f>K11-SUM(L11:N11)</f>
        <v>3591187.5</v>
      </c>
      <c r="P11" s="30"/>
      <c r="Q11" s="36">
        <f>O11-P11</f>
        <v>3591187.5</v>
      </c>
      <c r="R11" s="30"/>
      <c r="S11" s="88"/>
      <c r="T11" s="28"/>
      <c r="U11" s="22"/>
      <c r="V11" s="5"/>
      <c r="W11" s="5"/>
      <c r="X11" s="5"/>
      <c r="Y11" s="4"/>
      <c r="Z11" s="4"/>
      <c r="AA11" s="4"/>
      <c r="AB11" s="4"/>
      <c r="AC11" s="4"/>
    </row>
    <row r="12" spans="1:29" s="27" customFormat="1" ht="24" customHeight="1">
      <c r="A12" s="167"/>
      <c r="B12" s="168"/>
      <c r="C12" s="169"/>
      <c r="D12" s="170"/>
      <c r="E12" s="171"/>
      <c r="F12" s="172"/>
      <c r="G12" s="173"/>
      <c r="H12" s="172"/>
      <c r="I12" s="173"/>
      <c r="J12" s="174"/>
      <c r="K12" s="175"/>
      <c r="L12" s="176"/>
      <c r="M12" s="176"/>
      <c r="N12" s="176"/>
      <c r="O12" s="175"/>
      <c r="P12" s="175"/>
      <c r="Q12" s="177"/>
      <c r="R12" s="175"/>
      <c r="S12" s="88"/>
      <c r="T12" s="28"/>
      <c r="U12" s="22"/>
      <c r="V12" s="5"/>
      <c r="W12" s="5"/>
      <c r="X12" s="5"/>
      <c r="Y12" s="4"/>
      <c r="Z12" s="4"/>
      <c r="AA12" s="4"/>
      <c r="AB12" s="4"/>
      <c r="AC12" s="4"/>
    </row>
    <row r="13" spans="1:29" s="25" customFormat="1" ht="21" customHeight="1">
      <c r="A13" s="195" t="s">
        <v>22</v>
      </c>
      <c r="B13" s="196"/>
      <c r="C13" s="196"/>
      <c r="D13" s="197"/>
      <c r="E13" s="122">
        <f>SUM(E9:E11)</f>
        <v>8025000</v>
      </c>
      <c r="F13" s="122"/>
      <c r="G13" s="122">
        <f>SUM(G9:G11)</f>
        <v>8025000</v>
      </c>
      <c r="H13" s="122"/>
      <c r="I13" s="122">
        <f>SUM(I9:I11)</f>
        <v>0</v>
      </c>
      <c r="J13" s="122"/>
      <c r="K13" s="122">
        <f>SUM(K9:K11)</f>
        <v>8025000</v>
      </c>
      <c r="L13" s="122">
        <f>SUM(L9:L11)</f>
        <v>642000</v>
      </c>
      <c r="M13" s="122">
        <f>SUM(M9:M11)</f>
        <v>120375</v>
      </c>
      <c r="N13" s="122">
        <f>SUM(N9:N11)</f>
        <v>80250</v>
      </c>
      <c r="O13" s="122">
        <f>SUM(O9:O11)</f>
        <v>7182375</v>
      </c>
      <c r="P13" s="122"/>
      <c r="Q13" s="122">
        <f>SUM(Q9:Q11)</f>
        <v>7182375</v>
      </c>
      <c r="R13" s="20"/>
      <c r="S13" s="88"/>
      <c r="T13" s="26"/>
      <c r="U13" s="26"/>
      <c r="V13" s="26"/>
      <c r="W13" s="26"/>
      <c r="X13" s="26"/>
    </row>
    <row r="14" spans="1:29" s="70" customFormat="1" ht="24" customHeight="1">
      <c r="A14" s="164" t="s">
        <v>67</v>
      </c>
      <c r="B14" s="163" t="s">
        <v>68</v>
      </c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88"/>
      <c r="T14" s="71"/>
      <c r="U14" s="71"/>
      <c r="V14" s="72"/>
      <c r="W14" s="72"/>
      <c r="X14" s="72"/>
      <c r="Y14" s="73"/>
      <c r="Z14" s="73"/>
      <c r="AA14" s="73"/>
      <c r="AB14" s="73"/>
      <c r="AC14" s="73"/>
    </row>
    <row r="15" spans="1:29" s="27" customFormat="1" ht="24" customHeight="1">
      <c r="A15" s="29">
        <v>1</v>
      </c>
      <c r="B15" s="123" t="s">
        <v>74</v>
      </c>
      <c r="C15" s="74" t="str">
        <f>VLOOKUP(B15,DS,2,0)</f>
        <v>Thạch Huy Chạch</v>
      </c>
      <c r="D15" s="98" t="str">
        <f>VLOOKUP(B15,DS,3,0)</f>
        <v>Công nhân</v>
      </c>
      <c r="E15" s="75">
        <f>VLOOKUP(B15,DS,4,0)</f>
        <v>3937000</v>
      </c>
      <c r="F15" s="77">
        <f>VLOOKUP(B15,'CC -2'!$B$8:$AQ$15,34,0)</f>
        <v>22</v>
      </c>
      <c r="G15" s="127">
        <f>ROUND(E15/$S$2*F15,0)</f>
        <v>3937000</v>
      </c>
      <c r="H15" s="77">
        <f>(VLOOKUP(B15,'CC -2'!$B$8:$AQ$15,35,0)+VLOOKUP(B15,'CC -2'!$B$8:$AQ$15,36,0))</f>
        <v>0</v>
      </c>
      <c r="I15" s="127">
        <f>ROUND(E15/$S$2*H15,0)</f>
        <v>0</v>
      </c>
      <c r="J15" s="128">
        <f>F15+H15</f>
        <v>22</v>
      </c>
      <c r="K15" s="30">
        <f>G15+I15</f>
        <v>3937000</v>
      </c>
      <c r="L15" s="31">
        <f>IF(VLOOKUP($B15,DS,11,0)="x",$E15*L$4,0)</f>
        <v>314960</v>
      </c>
      <c r="M15" s="31">
        <f>IF(VLOOKUP($B15,DS,11,0)="x",$E15*M$4,0)</f>
        <v>59055</v>
      </c>
      <c r="N15" s="31">
        <f>IF(VLOOKUP($B15,DS,11,0)="x",$E15*N$4,0)</f>
        <v>39370</v>
      </c>
      <c r="O15" s="30">
        <f>K15-SUM(L15:N15)</f>
        <v>3523615</v>
      </c>
      <c r="P15" s="30"/>
      <c r="Q15" s="36">
        <f>O15-P15</f>
        <v>3523615</v>
      </c>
      <c r="R15" s="30"/>
      <c r="S15" s="88"/>
      <c r="T15" s="28"/>
      <c r="U15" s="22"/>
      <c r="V15" s="5"/>
      <c r="W15" s="5"/>
      <c r="X15" s="5"/>
      <c r="Y15" s="4"/>
      <c r="Z15" s="4"/>
      <c r="AA15" s="4"/>
      <c r="AB15" s="4"/>
      <c r="AC15" s="4"/>
    </row>
    <row r="16" spans="1:29" s="27" customFormat="1" ht="22.5" customHeight="1">
      <c r="A16" s="32"/>
      <c r="B16" s="161"/>
      <c r="C16" s="33"/>
      <c r="D16" s="3"/>
      <c r="E16" s="34"/>
      <c r="F16" s="34"/>
      <c r="G16" s="34"/>
      <c r="H16" s="34"/>
      <c r="I16" s="34"/>
      <c r="J16" s="35"/>
      <c r="K16" s="34"/>
      <c r="L16" s="34"/>
      <c r="M16" s="34"/>
      <c r="N16" s="34"/>
      <c r="O16" s="34"/>
      <c r="P16" s="34"/>
      <c r="Q16" s="34"/>
      <c r="R16" s="30"/>
      <c r="S16" s="88"/>
      <c r="T16" s="28"/>
      <c r="U16" s="28"/>
      <c r="V16" s="28"/>
      <c r="W16" s="28"/>
      <c r="X16" s="28"/>
    </row>
    <row r="17" spans="1:24" s="25" customFormat="1" ht="21" customHeight="1">
      <c r="A17" s="195" t="s">
        <v>22</v>
      </c>
      <c r="B17" s="196"/>
      <c r="C17" s="196"/>
      <c r="D17" s="197"/>
      <c r="E17" s="122">
        <f>SUM(E14:E16)</f>
        <v>3937000</v>
      </c>
      <c r="F17" s="122"/>
      <c r="G17" s="122">
        <f>SUM(G14:G16)</f>
        <v>3937000</v>
      </c>
      <c r="H17" s="122"/>
      <c r="I17" s="122">
        <f>SUM(I14:I16)</f>
        <v>0</v>
      </c>
      <c r="J17" s="122"/>
      <c r="K17" s="122">
        <f t="shared" ref="K17:Q17" si="1">SUM(K14:K16)</f>
        <v>3937000</v>
      </c>
      <c r="L17" s="122">
        <f t="shared" si="1"/>
        <v>314960</v>
      </c>
      <c r="M17" s="122">
        <f t="shared" si="1"/>
        <v>59055</v>
      </c>
      <c r="N17" s="122">
        <f t="shared" si="1"/>
        <v>39370</v>
      </c>
      <c r="O17" s="122">
        <f t="shared" si="1"/>
        <v>3523615</v>
      </c>
      <c r="P17" s="122">
        <f t="shared" si="1"/>
        <v>0</v>
      </c>
      <c r="Q17" s="122">
        <f t="shared" si="1"/>
        <v>3523615</v>
      </c>
      <c r="R17" s="20"/>
      <c r="S17" s="88"/>
      <c r="T17" s="26"/>
      <c r="U17" s="26"/>
      <c r="V17" s="26"/>
      <c r="W17" s="26"/>
      <c r="X17" s="26"/>
    </row>
    <row r="18" spans="1:24" ht="11.25" customHeight="1">
      <c r="A18" s="8"/>
      <c r="B18" s="8"/>
      <c r="C18" s="9"/>
      <c r="D18" s="99"/>
      <c r="E18" s="79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88"/>
    </row>
    <row r="19" spans="1:24" s="27" customFormat="1" ht="11.25" customHeight="1">
      <c r="A19" s="63"/>
      <c r="B19" s="63"/>
      <c r="C19" s="63"/>
      <c r="D19" s="115"/>
      <c r="E19" s="116"/>
      <c r="F19" s="63"/>
      <c r="G19" s="63"/>
      <c r="H19" s="63"/>
      <c r="I19" s="63"/>
      <c r="J19" s="117"/>
      <c r="K19" s="116"/>
      <c r="L19" s="63"/>
      <c r="M19" s="63"/>
      <c r="N19" s="63"/>
      <c r="O19" s="63"/>
      <c r="P19" s="63"/>
      <c r="Q19" s="92" t="str">
        <f>"Bình Dương, ngày  "&amp;$T$2&amp;"   tháng   "&amp;TEXT(E4,"mm")&amp;"   năm "&amp;TEXT(E4,"yyyy")</f>
        <v>Bình Dương, ngày  31   tháng   02   năm 2017</v>
      </c>
      <c r="R19" s="63"/>
      <c r="S19" s="118"/>
      <c r="T19" s="28"/>
      <c r="U19" s="28"/>
      <c r="V19" s="28"/>
      <c r="W19" s="28"/>
      <c r="X19" s="28"/>
    </row>
    <row r="20" spans="1:24" s="27" customFormat="1" ht="12.75">
      <c r="A20" s="23"/>
      <c r="B20" s="23"/>
      <c r="C20" s="23" t="s">
        <v>51</v>
      </c>
      <c r="D20" s="119"/>
      <c r="E20" s="64"/>
      <c r="F20" s="118"/>
      <c r="G20" s="64"/>
      <c r="H20" s="64"/>
      <c r="I20" s="64"/>
      <c r="J20" s="120"/>
      <c r="K20" s="28"/>
      <c r="L20" s="19"/>
      <c r="M20" s="19"/>
      <c r="N20" s="19"/>
      <c r="O20" s="19"/>
      <c r="Q20" s="118" t="s">
        <v>20</v>
      </c>
      <c r="R20" s="118"/>
      <c r="S20" s="118"/>
      <c r="T20" s="28"/>
      <c r="U20" s="28"/>
      <c r="V20" s="28"/>
      <c r="W20" s="28"/>
      <c r="X20" s="28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88"/>
    </row>
    <row r="22" spans="1:24" ht="12">
      <c r="C22" s="15"/>
      <c r="R22" s="15"/>
      <c r="S22" s="88"/>
    </row>
    <row r="23" spans="1:24" ht="12">
      <c r="S23" s="88"/>
    </row>
    <row r="24" spans="1:24" ht="12">
      <c r="S24" s="88"/>
    </row>
    <row r="25" spans="1:24" ht="12">
      <c r="S25" s="88"/>
    </row>
    <row r="26" spans="1:24" ht="12">
      <c r="S26" s="88"/>
    </row>
    <row r="27" spans="1:24" ht="12">
      <c r="S27" s="88"/>
    </row>
    <row r="28" spans="1:24" ht="12">
      <c r="S28" s="88"/>
    </row>
  </sheetData>
  <protectedRanges>
    <protectedRange password="CC78" sqref="T16:II17 C5:D7 B20:C20 T5:U9 A16:A21 B16:B19 B21 T14:U14 O5:R7 E5:I6 L5:N6 J6:K7 A23:R56 S29:S56 J16:Q16 T23:II56 A57:II65324 AD14:II14 T13:II13 D13:R13 AD12:II12 U12 A12:B13 D17:R17 O12:Q12 O15 O10:Q11 A10:B11 U10:U11 AD5:II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V12:AC12 S12:S14 B1:K4 S4:S11 V5:AC11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5:Q15 A15:B15 U15 AD15:II15" name="Range1_5"/>
    <protectedRange password="CC78" sqref="S15 V15:AC15" name="Range1_2_3"/>
    <protectedRange password="CC78" sqref="T15" name="Range1_1_3"/>
    <protectedRange password="CC78" sqref="K15 K10:K12" name="Range1_6"/>
    <protectedRange password="CC78" sqref="A2:A3" name="Range1_2_1_3"/>
    <protectedRange password="CC78" sqref="S2" name="Range1_2_2_1_1"/>
  </protectedRanges>
  <autoFilter ref="A7:AC10"/>
  <mergeCells count="20"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8" customWidth="1"/>
    <col min="5" max="5" width="7.140625" style="2" customWidth="1"/>
    <col min="6" max="33" width="3.42578125" style="105" customWidth="1"/>
    <col min="34" max="36" width="3.42578125" style="106" customWidth="1"/>
    <col min="37" max="38" width="4.42578125" style="2" customWidth="1"/>
    <col min="39" max="39" width="5.5703125" style="85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39"/>
      <c r="C1" s="39"/>
      <c r="D1" s="43"/>
      <c r="E1" s="39"/>
      <c r="F1" s="43"/>
      <c r="G1" s="43"/>
      <c r="H1" s="43"/>
      <c r="I1" s="43"/>
      <c r="J1" s="43"/>
      <c r="K1" s="101"/>
      <c r="L1" s="101"/>
      <c r="M1" s="101"/>
      <c r="N1" s="101"/>
      <c r="O1" s="101"/>
      <c r="P1" s="101"/>
      <c r="Q1" s="101"/>
      <c r="R1" s="101"/>
      <c r="S1" s="41" t="str">
        <f>CONCATENATE("BẢNG CHẤM CÔNG THÁNG ",TEXT($E$4,"mm")," NĂM ",TEXT($E$4,"yyyy"))</f>
        <v>BẢNG CHẤM CÔNG THÁNG 03 NĂM 2017</v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40"/>
      <c r="AL1" s="40"/>
      <c r="AM1" s="225" t="s">
        <v>76</v>
      </c>
      <c r="AN1" s="226"/>
      <c r="AO1" s="226"/>
      <c r="AP1" s="226"/>
      <c r="AQ1" s="226"/>
      <c r="AR1" s="226"/>
      <c r="AS1" s="227"/>
      <c r="AT1" s="42"/>
    </row>
    <row r="2" spans="1:91" ht="20.25">
      <c r="A2" s="121"/>
      <c r="B2" s="43"/>
      <c r="C2" s="43"/>
      <c r="D2" s="43"/>
      <c r="E2" s="43"/>
      <c r="F2" s="43"/>
      <c r="G2" s="43"/>
      <c r="H2" s="43"/>
      <c r="I2" s="43"/>
      <c r="J2" s="43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40"/>
      <c r="AL2" s="40"/>
      <c r="AM2" s="81"/>
      <c r="AN2" s="44"/>
      <c r="AO2" s="44"/>
      <c r="AP2" s="44"/>
      <c r="AQ2" s="44"/>
      <c r="AR2" s="44"/>
      <c r="AS2" s="80"/>
      <c r="AT2" s="80"/>
    </row>
    <row r="3" spans="1:91" ht="21" customHeight="1">
      <c r="A3" s="121"/>
      <c r="B3" s="45"/>
      <c r="C3" s="45"/>
      <c r="D3" s="46"/>
      <c r="E3" s="46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40"/>
      <c r="AL3" s="40"/>
      <c r="AM3" s="81"/>
      <c r="AN3" s="42"/>
      <c r="AO3" s="42"/>
      <c r="AP3" s="42"/>
      <c r="AQ3" s="42"/>
      <c r="AR3" s="42"/>
      <c r="AS3" s="47"/>
      <c r="AT3" s="47"/>
    </row>
    <row r="4" spans="1:91" ht="14.25" customHeight="1">
      <c r="A4" s="48"/>
      <c r="B4" s="48"/>
      <c r="C4" s="136"/>
      <c r="D4" s="135"/>
      <c r="E4" s="49">
        <v>42795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1"/>
      <c r="AI4" s="51"/>
      <c r="AJ4" s="51"/>
      <c r="AK4" s="48"/>
      <c r="AL4" s="48"/>
      <c r="AM4" s="82"/>
      <c r="AN4" s="48"/>
      <c r="AO4" s="48"/>
      <c r="AP4" s="48"/>
      <c r="AQ4" s="48"/>
      <c r="AR4" s="48"/>
      <c r="AS4" s="48"/>
      <c r="AT4" s="86"/>
    </row>
    <row r="5" spans="1:91" s="52" customFormat="1" ht="18.75" customHeight="1">
      <c r="A5" s="228" t="s">
        <v>25</v>
      </c>
      <c r="B5" s="228" t="s">
        <v>3</v>
      </c>
      <c r="C5" s="228" t="s">
        <v>1</v>
      </c>
      <c r="D5" s="230" t="s">
        <v>26</v>
      </c>
      <c r="E5" s="228" t="s">
        <v>27</v>
      </c>
      <c r="F5" s="100">
        <f>+E4</f>
        <v>42795</v>
      </c>
      <c r="G5" s="100">
        <f t="shared" ref="G5:AJ5" si="0">F5+1</f>
        <v>42796</v>
      </c>
      <c r="H5" s="100">
        <f t="shared" si="0"/>
        <v>42797</v>
      </c>
      <c r="I5" s="100">
        <f t="shared" si="0"/>
        <v>42798</v>
      </c>
      <c r="J5" s="100">
        <f t="shared" si="0"/>
        <v>42799</v>
      </c>
      <c r="K5" s="100">
        <f t="shared" si="0"/>
        <v>42800</v>
      </c>
      <c r="L5" s="100">
        <f t="shared" si="0"/>
        <v>42801</v>
      </c>
      <c r="M5" s="100">
        <f t="shared" si="0"/>
        <v>42802</v>
      </c>
      <c r="N5" s="100">
        <f t="shared" si="0"/>
        <v>42803</v>
      </c>
      <c r="O5" s="100">
        <f t="shared" si="0"/>
        <v>42804</v>
      </c>
      <c r="P5" s="100">
        <f t="shared" si="0"/>
        <v>42805</v>
      </c>
      <c r="Q5" s="100">
        <f t="shared" si="0"/>
        <v>42806</v>
      </c>
      <c r="R5" s="100">
        <f t="shared" si="0"/>
        <v>42807</v>
      </c>
      <c r="S5" s="100">
        <f t="shared" si="0"/>
        <v>42808</v>
      </c>
      <c r="T5" s="100">
        <f t="shared" si="0"/>
        <v>42809</v>
      </c>
      <c r="U5" s="100">
        <f t="shared" si="0"/>
        <v>42810</v>
      </c>
      <c r="V5" s="100">
        <f t="shared" si="0"/>
        <v>42811</v>
      </c>
      <c r="W5" s="100">
        <f t="shared" si="0"/>
        <v>42812</v>
      </c>
      <c r="X5" s="100">
        <f t="shared" si="0"/>
        <v>42813</v>
      </c>
      <c r="Y5" s="100">
        <f t="shared" si="0"/>
        <v>42814</v>
      </c>
      <c r="Z5" s="100">
        <f t="shared" si="0"/>
        <v>42815</v>
      </c>
      <c r="AA5" s="100">
        <f t="shared" si="0"/>
        <v>42816</v>
      </c>
      <c r="AB5" s="100">
        <f t="shared" si="0"/>
        <v>42817</v>
      </c>
      <c r="AC5" s="100">
        <f t="shared" si="0"/>
        <v>42818</v>
      </c>
      <c r="AD5" s="100">
        <f t="shared" si="0"/>
        <v>42819</v>
      </c>
      <c r="AE5" s="100">
        <f t="shared" si="0"/>
        <v>42820</v>
      </c>
      <c r="AF5" s="100">
        <f t="shared" si="0"/>
        <v>42821</v>
      </c>
      <c r="AG5" s="100">
        <f t="shared" si="0"/>
        <v>42822</v>
      </c>
      <c r="AH5" s="100">
        <f>AG5+1</f>
        <v>42823</v>
      </c>
      <c r="AI5" s="100">
        <f t="shared" si="0"/>
        <v>42824</v>
      </c>
      <c r="AJ5" s="100">
        <f t="shared" si="0"/>
        <v>42825</v>
      </c>
      <c r="AK5" s="231" t="s">
        <v>14</v>
      </c>
      <c r="AL5" s="232"/>
      <c r="AM5" s="233"/>
      <c r="AN5" s="234" t="s">
        <v>38</v>
      </c>
      <c r="AO5" s="234" t="s">
        <v>34</v>
      </c>
      <c r="AP5" s="234" t="s">
        <v>35</v>
      </c>
      <c r="AQ5" s="234" t="s">
        <v>36</v>
      </c>
      <c r="AR5" s="234" t="s">
        <v>37</v>
      </c>
      <c r="AS5" s="230" t="s">
        <v>0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2" customFormat="1" ht="39.75" customHeight="1">
      <c r="A6" s="229"/>
      <c r="B6" s="229"/>
      <c r="C6" s="229"/>
      <c r="D6" s="229"/>
      <c r="E6" s="229"/>
      <c r="F6" s="151" t="str">
        <f>CHOOSE(WEEKDAY(F5),"C.Nhật","T.Hai","T.Ba","T.Tư","T.Năm","T.Sáu","T.Bảy")</f>
        <v>T.Tư</v>
      </c>
      <c r="G6" s="151" t="str">
        <f t="shared" ref="G6:AJ6" si="1">CHOOSE(WEEKDAY(G5),"C.Nhật","T.Hai","T.Ba","T.Tư","T.Năm","T.Sáu","T.Bảy")</f>
        <v>T.Năm</v>
      </c>
      <c r="H6" s="151" t="str">
        <f t="shared" si="1"/>
        <v>T.Sáu</v>
      </c>
      <c r="I6" s="151" t="str">
        <f t="shared" si="1"/>
        <v>T.Bảy</v>
      </c>
      <c r="J6" s="151" t="str">
        <f t="shared" si="1"/>
        <v>C.Nhật</v>
      </c>
      <c r="K6" s="151" t="str">
        <f t="shared" si="1"/>
        <v>T.Hai</v>
      </c>
      <c r="L6" s="151" t="str">
        <f t="shared" si="1"/>
        <v>T.Ba</v>
      </c>
      <c r="M6" s="151" t="str">
        <f t="shared" si="1"/>
        <v>T.Tư</v>
      </c>
      <c r="N6" s="151" t="str">
        <f t="shared" si="1"/>
        <v>T.Năm</v>
      </c>
      <c r="O6" s="151" t="str">
        <f t="shared" si="1"/>
        <v>T.Sáu</v>
      </c>
      <c r="P6" s="151" t="str">
        <f t="shared" si="1"/>
        <v>T.Bảy</v>
      </c>
      <c r="Q6" s="151" t="str">
        <f t="shared" si="1"/>
        <v>C.Nhật</v>
      </c>
      <c r="R6" s="151" t="str">
        <f t="shared" si="1"/>
        <v>T.Hai</v>
      </c>
      <c r="S6" s="151" t="str">
        <f t="shared" si="1"/>
        <v>T.Ba</v>
      </c>
      <c r="T6" s="151" t="str">
        <f t="shared" si="1"/>
        <v>T.Tư</v>
      </c>
      <c r="U6" s="151" t="str">
        <f t="shared" si="1"/>
        <v>T.Năm</v>
      </c>
      <c r="V6" s="151" t="str">
        <f t="shared" si="1"/>
        <v>T.Sáu</v>
      </c>
      <c r="W6" s="151" t="str">
        <f t="shared" si="1"/>
        <v>T.Bảy</v>
      </c>
      <c r="X6" s="151" t="str">
        <f t="shared" si="1"/>
        <v>C.Nhật</v>
      </c>
      <c r="Y6" s="151" t="str">
        <f t="shared" si="1"/>
        <v>T.Hai</v>
      </c>
      <c r="Z6" s="151" t="str">
        <f t="shared" si="1"/>
        <v>T.Ba</v>
      </c>
      <c r="AA6" s="151" t="str">
        <f t="shared" si="1"/>
        <v>T.Tư</v>
      </c>
      <c r="AB6" s="151" t="str">
        <f t="shared" si="1"/>
        <v>T.Năm</v>
      </c>
      <c r="AC6" s="151" t="str">
        <f t="shared" si="1"/>
        <v>T.Sáu</v>
      </c>
      <c r="AD6" s="151" t="str">
        <f t="shared" si="1"/>
        <v>T.Bảy</v>
      </c>
      <c r="AE6" s="151" t="str">
        <f t="shared" si="1"/>
        <v>C.Nhật</v>
      </c>
      <c r="AF6" s="151" t="str">
        <f t="shared" si="1"/>
        <v>T.Hai</v>
      </c>
      <c r="AG6" s="151" t="str">
        <f t="shared" si="1"/>
        <v>T.Ba</v>
      </c>
      <c r="AH6" s="151" t="str">
        <f t="shared" si="1"/>
        <v>T.Tư</v>
      </c>
      <c r="AI6" s="151" t="str">
        <f t="shared" si="1"/>
        <v>T.Năm</v>
      </c>
      <c r="AJ6" s="151" t="str">
        <f t="shared" si="1"/>
        <v>T.Sáu</v>
      </c>
      <c r="AK6" s="152" t="s">
        <v>15</v>
      </c>
      <c r="AL6" s="152" t="s">
        <v>28</v>
      </c>
      <c r="AM6" s="153" t="s">
        <v>16</v>
      </c>
      <c r="AN6" s="235"/>
      <c r="AO6" s="235"/>
      <c r="AP6" s="235"/>
      <c r="AQ6" s="235"/>
      <c r="AR6" s="235"/>
      <c r="AS6" s="229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2" customFormat="1" ht="12.75" customHeight="1">
      <c r="A7" s="154">
        <v>1</v>
      </c>
      <c r="B7" s="154">
        <v>1</v>
      </c>
      <c r="C7" s="154">
        <v>2</v>
      </c>
      <c r="D7" s="154">
        <v>3</v>
      </c>
      <c r="E7" s="154">
        <v>4</v>
      </c>
      <c r="F7" s="154">
        <v>5</v>
      </c>
      <c r="G7" s="154">
        <v>6</v>
      </c>
      <c r="H7" s="154">
        <v>7</v>
      </c>
      <c r="I7" s="154">
        <v>8</v>
      </c>
      <c r="J7" s="154">
        <v>9</v>
      </c>
      <c r="K7" s="154">
        <v>10</v>
      </c>
      <c r="L7" s="154">
        <v>11</v>
      </c>
      <c r="M7" s="154">
        <v>12</v>
      </c>
      <c r="N7" s="154">
        <v>13</v>
      </c>
      <c r="O7" s="154">
        <v>14</v>
      </c>
      <c r="P7" s="154">
        <v>15</v>
      </c>
      <c r="Q7" s="154">
        <v>16</v>
      </c>
      <c r="R7" s="154">
        <v>17</v>
      </c>
      <c r="S7" s="154">
        <v>18</v>
      </c>
      <c r="T7" s="154">
        <v>19</v>
      </c>
      <c r="U7" s="154">
        <v>20</v>
      </c>
      <c r="V7" s="154">
        <v>21</v>
      </c>
      <c r="W7" s="154">
        <v>22</v>
      </c>
      <c r="X7" s="154">
        <v>23</v>
      </c>
      <c r="Y7" s="154">
        <v>24</v>
      </c>
      <c r="Z7" s="154">
        <v>25</v>
      </c>
      <c r="AA7" s="154">
        <v>26</v>
      </c>
      <c r="AB7" s="154">
        <v>27</v>
      </c>
      <c r="AC7" s="154">
        <v>28</v>
      </c>
      <c r="AD7" s="154">
        <v>29</v>
      </c>
      <c r="AE7" s="154">
        <v>30</v>
      </c>
      <c r="AF7" s="154">
        <v>31</v>
      </c>
      <c r="AG7" s="154">
        <v>32</v>
      </c>
      <c r="AH7" s="154">
        <v>33</v>
      </c>
      <c r="AI7" s="154">
        <v>34</v>
      </c>
      <c r="AJ7" s="154">
        <v>35</v>
      </c>
      <c r="AK7" s="154">
        <v>36</v>
      </c>
      <c r="AL7" s="154">
        <v>37</v>
      </c>
      <c r="AM7" s="154">
        <v>38</v>
      </c>
      <c r="AN7" s="154">
        <v>39</v>
      </c>
      <c r="AO7" s="154">
        <v>40</v>
      </c>
      <c r="AP7" s="154">
        <v>41</v>
      </c>
      <c r="AQ7" s="154">
        <v>42</v>
      </c>
      <c r="AR7" s="154">
        <v>43</v>
      </c>
      <c r="AS7" s="154">
        <v>44</v>
      </c>
      <c r="AT7" s="18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57" customFormat="1" ht="21" customHeight="1">
      <c r="A8" s="155" t="s">
        <v>66</v>
      </c>
      <c r="B8" s="158" t="s">
        <v>75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60"/>
      <c r="AT8" s="156"/>
    </row>
    <row r="9" spans="1:91" s="52" customFormat="1" ht="18" customHeight="1">
      <c r="A9" s="219">
        <v>1</v>
      </c>
      <c r="B9" s="219" t="s">
        <v>72</v>
      </c>
      <c r="C9" s="221" t="str">
        <f>VLOOKUP(B9,DS,2,0)</f>
        <v>Nguyễn Phước Bảo Việt Hùng</v>
      </c>
      <c r="D9" s="223" t="str">
        <f>VLOOKUP(B9,DS,3,0)</f>
        <v>Kinh Doanh</v>
      </c>
      <c r="E9" s="53" t="s">
        <v>29</v>
      </c>
      <c r="F9" s="125">
        <v>8</v>
      </c>
      <c r="G9" s="125">
        <v>8</v>
      </c>
      <c r="H9" s="125">
        <v>8</v>
      </c>
      <c r="I9" s="125">
        <v>8</v>
      </c>
      <c r="J9" s="125"/>
      <c r="K9" s="125">
        <v>8</v>
      </c>
      <c r="L9" s="125">
        <v>8</v>
      </c>
      <c r="M9" s="125">
        <v>8</v>
      </c>
      <c r="N9" s="125">
        <v>8</v>
      </c>
      <c r="O9" s="125">
        <v>8</v>
      </c>
      <c r="P9" s="125">
        <v>8</v>
      </c>
      <c r="Q9" s="125"/>
      <c r="R9" s="125">
        <v>8</v>
      </c>
      <c r="S9" s="125">
        <v>8</v>
      </c>
      <c r="T9" s="125">
        <v>8</v>
      </c>
      <c r="U9" s="125">
        <v>8</v>
      </c>
      <c r="V9" s="125">
        <v>8</v>
      </c>
      <c r="W9" s="125">
        <v>8</v>
      </c>
      <c r="X9" s="125"/>
      <c r="Y9" s="125">
        <v>8</v>
      </c>
      <c r="Z9" s="125">
        <v>8</v>
      </c>
      <c r="AA9" s="125">
        <v>8</v>
      </c>
      <c r="AB9" s="125">
        <v>8</v>
      </c>
      <c r="AC9" s="125">
        <v>8</v>
      </c>
      <c r="AD9" s="125">
        <v>8</v>
      </c>
      <c r="AE9" s="125"/>
      <c r="AF9" s="125">
        <v>8</v>
      </c>
      <c r="AG9" s="125">
        <v>8</v>
      </c>
      <c r="AH9" s="125">
        <v>8</v>
      </c>
      <c r="AI9" s="125">
        <v>8</v>
      </c>
      <c r="AJ9" s="125">
        <v>8</v>
      </c>
      <c r="AK9" s="217">
        <f>((SUM(F9:AJ9))/8)-(SUMIF($F$6:$AJ$6,"C.Nhật",F9:AJ9)/8)</f>
        <v>27</v>
      </c>
      <c r="AL9" s="217">
        <f>SUM(F10:AJ10)/8*1.5</f>
        <v>0</v>
      </c>
      <c r="AM9" s="237">
        <f>SUMIF($F$6:$AJ$6,"C.Nhật",$F9:$AJ10)/8*2</f>
        <v>0</v>
      </c>
      <c r="AN9" s="213">
        <f>SUM(AK9:AM10)</f>
        <v>27</v>
      </c>
      <c r="AO9" s="239">
        <v>0</v>
      </c>
      <c r="AP9" s="213"/>
      <c r="AQ9" s="213"/>
      <c r="AR9" s="213"/>
      <c r="AS9" s="215"/>
      <c r="AT9" s="18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2" customFormat="1" ht="18" customHeight="1">
      <c r="A10" s="220"/>
      <c r="B10" s="220"/>
      <c r="C10" s="222"/>
      <c r="D10" s="224"/>
      <c r="E10" s="54" t="s">
        <v>28</v>
      </c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218"/>
      <c r="AL10" s="218"/>
      <c r="AM10" s="238"/>
      <c r="AN10" s="214"/>
      <c r="AO10" s="240"/>
      <c r="AP10" s="214"/>
      <c r="AQ10" s="214"/>
      <c r="AR10" s="214"/>
      <c r="AS10" s="216"/>
      <c r="AT10" s="18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2" customFormat="1" ht="18" customHeight="1">
      <c r="A11" s="219">
        <v>2</v>
      </c>
      <c r="B11" s="219" t="s">
        <v>73</v>
      </c>
      <c r="C11" s="221" t="str">
        <f>VLOOKUP(B11,DS,2,0)</f>
        <v>Mai Thị Hường</v>
      </c>
      <c r="D11" s="223" t="str">
        <f>VLOOKUP(B11,DS,3,0)</f>
        <v>Kế Toán</v>
      </c>
      <c r="E11" s="53" t="s">
        <v>29</v>
      </c>
      <c r="F11" s="125">
        <v>8</v>
      </c>
      <c r="G11" s="125">
        <v>8</v>
      </c>
      <c r="H11" s="125">
        <v>8</v>
      </c>
      <c r="I11" s="125">
        <v>8</v>
      </c>
      <c r="J11" s="125"/>
      <c r="K11" s="125">
        <v>8</v>
      </c>
      <c r="L11" s="125">
        <v>8</v>
      </c>
      <c r="M11" s="125">
        <v>8</v>
      </c>
      <c r="N11" s="125">
        <v>8</v>
      </c>
      <c r="O11" s="125">
        <v>8</v>
      </c>
      <c r="P11" s="125">
        <v>8</v>
      </c>
      <c r="Q11" s="125"/>
      <c r="R11" s="125">
        <v>8</v>
      </c>
      <c r="S11" s="125">
        <v>8</v>
      </c>
      <c r="T11" s="125">
        <v>8</v>
      </c>
      <c r="U11" s="125">
        <v>8</v>
      </c>
      <c r="V11" s="125">
        <v>8</v>
      </c>
      <c r="W11" s="125">
        <v>8</v>
      </c>
      <c r="X11" s="125"/>
      <c r="Y11" s="125">
        <v>8</v>
      </c>
      <c r="Z11" s="125">
        <v>8</v>
      </c>
      <c r="AA11" s="125">
        <v>8</v>
      </c>
      <c r="AB11" s="125">
        <v>8</v>
      </c>
      <c r="AC11" s="125">
        <v>8</v>
      </c>
      <c r="AD11" s="125">
        <v>8</v>
      </c>
      <c r="AE11" s="125"/>
      <c r="AF11" s="125">
        <v>8</v>
      </c>
      <c r="AG11" s="125">
        <v>8</v>
      </c>
      <c r="AH11" s="125">
        <v>8</v>
      </c>
      <c r="AI11" s="125">
        <v>8</v>
      </c>
      <c r="AJ11" s="125">
        <v>8</v>
      </c>
      <c r="AK11" s="217">
        <f>((SUM(F11:AJ11))/8)-(SUMIF($F$6:$AJ$6,"C.Nhật",F11:AJ11)/8)</f>
        <v>27</v>
      </c>
      <c r="AL11" s="217">
        <f>SUM(F12:AJ12)/8*1.5</f>
        <v>0</v>
      </c>
      <c r="AM11" s="237">
        <f>SUMIF($F$6:$AJ$6,"C.Nhật",$F11:$AJ12)/8*2</f>
        <v>0</v>
      </c>
      <c r="AN11" s="213">
        <f>SUM(AK11:AM12)</f>
        <v>27</v>
      </c>
      <c r="AO11" s="239">
        <v>0</v>
      </c>
      <c r="AP11" s="213"/>
      <c r="AQ11" s="213"/>
      <c r="AR11" s="213"/>
      <c r="AS11" s="215"/>
      <c r="AT11" s="18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2" customFormat="1" ht="18" customHeight="1">
      <c r="A12" s="220"/>
      <c r="B12" s="220"/>
      <c r="C12" s="222"/>
      <c r="D12" s="224"/>
      <c r="E12" s="54" t="s">
        <v>28</v>
      </c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218"/>
      <c r="AL12" s="218"/>
      <c r="AM12" s="238"/>
      <c r="AN12" s="214"/>
      <c r="AO12" s="240"/>
      <c r="AP12" s="214"/>
      <c r="AQ12" s="214"/>
      <c r="AR12" s="214"/>
      <c r="AS12" s="216"/>
      <c r="AT12" s="18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2" customFormat="1" ht="18" customHeight="1">
      <c r="A13" s="219">
        <v>3</v>
      </c>
      <c r="B13" s="219" t="s">
        <v>106</v>
      </c>
      <c r="C13" s="221" t="str">
        <f>VLOOKUP(B13,DS,2,0)</f>
        <v>Nguyễn Thị Thúy Hằng</v>
      </c>
      <c r="D13" s="223" t="str">
        <f>VLOOKUP(B13,DS,3,0)</f>
        <v>Trưởng Phòng</v>
      </c>
      <c r="E13" s="53" t="s">
        <v>29</v>
      </c>
      <c r="F13" s="125">
        <v>8</v>
      </c>
      <c r="G13" s="125">
        <v>8</v>
      </c>
      <c r="H13" s="125">
        <v>8</v>
      </c>
      <c r="I13" s="125">
        <v>8</v>
      </c>
      <c r="J13" s="125"/>
      <c r="K13" s="125">
        <v>8</v>
      </c>
      <c r="L13" s="125">
        <v>8</v>
      </c>
      <c r="M13" s="125">
        <v>8</v>
      </c>
      <c r="N13" s="125">
        <v>8</v>
      </c>
      <c r="O13" s="125">
        <v>8</v>
      </c>
      <c r="P13" s="125">
        <v>8</v>
      </c>
      <c r="Q13" s="125"/>
      <c r="R13" s="125">
        <v>8</v>
      </c>
      <c r="S13" s="125">
        <v>8</v>
      </c>
      <c r="T13" s="125">
        <v>8</v>
      </c>
      <c r="U13" s="125">
        <v>8</v>
      </c>
      <c r="V13" s="125">
        <v>8</v>
      </c>
      <c r="W13" s="125">
        <v>8</v>
      </c>
      <c r="X13" s="125"/>
      <c r="Y13" s="125">
        <v>8</v>
      </c>
      <c r="Z13" s="125">
        <v>8</v>
      </c>
      <c r="AA13" s="125">
        <v>8</v>
      </c>
      <c r="AB13" s="125">
        <v>8</v>
      </c>
      <c r="AC13" s="125">
        <v>8</v>
      </c>
      <c r="AD13" s="125">
        <v>8</v>
      </c>
      <c r="AE13" s="125"/>
      <c r="AF13" s="125">
        <v>8</v>
      </c>
      <c r="AG13" s="125">
        <v>8</v>
      </c>
      <c r="AH13" s="125">
        <v>8</v>
      </c>
      <c r="AI13" s="125">
        <v>8</v>
      </c>
      <c r="AJ13" s="125">
        <v>8</v>
      </c>
      <c r="AK13" s="217">
        <f>((SUM(F13:AJ13))/8)-(SUMIF($F$6:$AJ$6,"C.Nhật",F13:AJ13)/8)</f>
        <v>27</v>
      </c>
      <c r="AL13" s="217">
        <f>SUM(F14:AJ14)/8*1.5</f>
        <v>0</v>
      </c>
      <c r="AM13" s="237">
        <f>SUMIF($F$6:$AJ$6,"C.Nhật",$F13:$AJ14)/8*2</f>
        <v>0</v>
      </c>
      <c r="AN13" s="213">
        <f>SUM(AK13:AM14)</f>
        <v>27</v>
      </c>
      <c r="AO13" s="239">
        <v>0</v>
      </c>
      <c r="AP13" s="213"/>
      <c r="AQ13" s="213"/>
      <c r="AR13" s="213"/>
      <c r="AS13" s="215"/>
      <c r="AT13" s="18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2" customFormat="1" ht="18" customHeight="1">
      <c r="A14" s="220"/>
      <c r="B14" s="220"/>
      <c r="C14" s="222"/>
      <c r="D14" s="224"/>
      <c r="E14" s="54" t="s">
        <v>28</v>
      </c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218"/>
      <c r="AL14" s="218"/>
      <c r="AM14" s="238"/>
      <c r="AN14" s="214"/>
      <c r="AO14" s="240"/>
      <c r="AP14" s="214"/>
      <c r="AQ14" s="214"/>
      <c r="AR14" s="214"/>
      <c r="AS14" s="216"/>
      <c r="AT14" s="18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57" customFormat="1" ht="21" customHeight="1">
      <c r="A15" s="155" t="s">
        <v>67</v>
      </c>
      <c r="B15" s="158" t="s">
        <v>71</v>
      </c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60"/>
      <c r="AT15" s="156"/>
    </row>
    <row r="16" spans="1:91" s="52" customFormat="1" ht="18" customHeight="1">
      <c r="A16" s="219">
        <v>1</v>
      </c>
      <c r="B16" s="219" t="s">
        <v>74</v>
      </c>
      <c r="C16" s="221" t="str">
        <f>VLOOKUP(B16,DS,2,0)</f>
        <v>Thạch Huy Chạch</v>
      </c>
      <c r="D16" s="223" t="str">
        <f>VLOOKUP(B16,DS,3,0)</f>
        <v>Công nhân</v>
      </c>
      <c r="E16" s="53" t="s">
        <v>29</v>
      </c>
      <c r="F16" s="125">
        <v>8</v>
      </c>
      <c r="G16" s="125">
        <v>8</v>
      </c>
      <c r="H16" s="125">
        <v>8</v>
      </c>
      <c r="I16" s="125">
        <v>8</v>
      </c>
      <c r="J16" s="125"/>
      <c r="K16" s="125">
        <v>8</v>
      </c>
      <c r="L16" s="125">
        <v>8</v>
      </c>
      <c r="M16" s="125">
        <v>8</v>
      </c>
      <c r="N16" s="125">
        <v>8</v>
      </c>
      <c r="O16" s="125">
        <v>8</v>
      </c>
      <c r="P16" s="125">
        <v>8</v>
      </c>
      <c r="Q16" s="125"/>
      <c r="R16" s="125">
        <v>8</v>
      </c>
      <c r="S16" s="125">
        <v>8</v>
      </c>
      <c r="T16" s="125">
        <v>8</v>
      </c>
      <c r="U16" s="125">
        <v>8</v>
      </c>
      <c r="V16" s="125">
        <v>8</v>
      </c>
      <c r="W16" s="125">
        <v>8</v>
      </c>
      <c r="X16" s="125"/>
      <c r="Y16" s="125">
        <v>8</v>
      </c>
      <c r="Z16" s="125">
        <v>8</v>
      </c>
      <c r="AA16" s="125">
        <v>8</v>
      </c>
      <c r="AB16" s="125">
        <v>8</v>
      </c>
      <c r="AC16" s="125">
        <v>8</v>
      </c>
      <c r="AD16" s="125">
        <v>8</v>
      </c>
      <c r="AE16" s="125"/>
      <c r="AF16" s="125">
        <v>8</v>
      </c>
      <c r="AG16" s="125">
        <v>8</v>
      </c>
      <c r="AH16" s="125">
        <v>8</v>
      </c>
      <c r="AI16" s="125">
        <v>8</v>
      </c>
      <c r="AJ16" s="125">
        <v>8</v>
      </c>
      <c r="AK16" s="217">
        <f>((SUM(F16:AJ16))/8)-(SUMIF($F$6:$AJ$6,"C.Nhật",F16:AJ16)/8)</f>
        <v>27</v>
      </c>
      <c r="AL16" s="217">
        <f>SUM(F17:AJ17)/8*1.5</f>
        <v>0</v>
      </c>
      <c r="AM16" s="237">
        <f>SUMIF($F$6:$AJ$6,"C.Nhật",$F16:$AJ17)/8*2</f>
        <v>0</v>
      </c>
      <c r="AN16" s="213">
        <f>SUM(AK16:AM17)</f>
        <v>27</v>
      </c>
      <c r="AO16" s="239">
        <v>0</v>
      </c>
      <c r="AP16" s="213"/>
      <c r="AQ16" s="213"/>
      <c r="AR16" s="213"/>
      <c r="AS16" s="215"/>
      <c r="AT16" s="19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2" customFormat="1" ht="18" customHeight="1">
      <c r="A17" s="220"/>
      <c r="B17" s="220"/>
      <c r="C17" s="222"/>
      <c r="D17" s="224"/>
      <c r="E17" s="54" t="s">
        <v>28</v>
      </c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218"/>
      <c r="AL17" s="218"/>
      <c r="AM17" s="238"/>
      <c r="AN17" s="214"/>
      <c r="AO17" s="240"/>
      <c r="AP17" s="214"/>
      <c r="AQ17" s="214"/>
      <c r="AR17" s="214"/>
      <c r="AS17" s="216"/>
      <c r="AT17" s="19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2" customFormat="1" ht="18" customHeight="1">
      <c r="A18" s="219">
        <v>2</v>
      </c>
      <c r="B18" s="219" t="s">
        <v>103</v>
      </c>
      <c r="C18" s="221" t="str">
        <f>VLOOKUP(B18,DS,2,0)</f>
        <v>Võ Ngọc Thúy Hằng</v>
      </c>
      <c r="D18" s="223" t="str">
        <f>VLOOKUP(B18,DS,3,0)</f>
        <v>Công nhân</v>
      </c>
      <c r="E18" s="53" t="s">
        <v>29</v>
      </c>
      <c r="F18" s="125">
        <v>8</v>
      </c>
      <c r="G18" s="125">
        <v>8</v>
      </c>
      <c r="H18" s="125">
        <v>8</v>
      </c>
      <c r="I18" s="125">
        <v>8</v>
      </c>
      <c r="J18" s="125"/>
      <c r="K18" s="125">
        <v>8</v>
      </c>
      <c r="L18" s="125">
        <v>8</v>
      </c>
      <c r="M18" s="125">
        <v>8</v>
      </c>
      <c r="N18" s="125">
        <v>8</v>
      </c>
      <c r="O18" s="125">
        <v>8</v>
      </c>
      <c r="P18" s="125">
        <v>8</v>
      </c>
      <c r="Q18" s="125"/>
      <c r="R18" s="125">
        <v>8</v>
      </c>
      <c r="S18" s="125">
        <v>8</v>
      </c>
      <c r="T18" s="125">
        <v>8</v>
      </c>
      <c r="U18" s="125">
        <v>8</v>
      </c>
      <c r="V18" s="125">
        <v>8</v>
      </c>
      <c r="W18" s="125">
        <v>8</v>
      </c>
      <c r="X18" s="125"/>
      <c r="Y18" s="125">
        <v>8</v>
      </c>
      <c r="Z18" s="125">
        <v>8</v>
      </c>
      <c r="AA18" s="125">
        <v>8</v>
      </c>
      <c r="AB18" s="125">
        <v>8</v>
      </c>
      <c r="AC18" s="125">
        <v>8</v>
      </c>
      <c r="AD18" s="125">
        <v>8</v>
      </c>
      <c r="AE18" s="125"/>
      <c r="AF18" s="125">
        <v>8</v>
      </c>
      <c r="AG18" s="125">
        <v>8</v>
      </c>
      <c r="AH18" s="125">
        <v>8</v>
      </c>
      <c r="AI18" s="125">
        <v>8</v>
      </c>
      <c r="AJ18" s="125">
        <v>8</v>
      </c>
      <c r="AK18" s="217">
        <f>((SUM(F18:AJ18))/8)-(SUMIF($F$6:$AJ$6,"C.Nhật",F18:AJ18)/8)</f>
        <v>27</v>
      </c>
      <c r="AL18" s="217">
        <f>SUM(F19:AJ19)/8*1.5</f>
        <v>0</v>
      </c>
      <c r="AM18" s="237">
        <f>SUMIF($F$6:$AJ$6,"C.Nhật",$F18:$AJ19)/8*2</f>
        <v>0</v>
      </c>
      <c r="AN18" s="213">
        <f>SUM(AK18:AM19)</f>
        <v>27</v>
      </c>
      <c r="AO18" s="239">
        <v>0</v>
      </c>
      <c r="AP18" s="213"/>
      <c r="AQ18" s="213"/>
      <c r="AR18" s="213"/>
      <c r="AS18" s="215"/>
      <c r="AT18" s="18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2" customFormat="1" ht="18" customHeight="1">
      <c r="A19" s="220"/>
      <c r="B19" s="220"/>
      <c r="C19" s="222"/>
      <c r="D19" s="224"/>
      <c r="E19" s="54" t="s">
        <v>28</v>
      </c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218"/>
      <c r="AL19" s="218"/>
      <c r="AM19" s="238"/>
      <c r="AN19" s="214"/>
      <c r="AO19" s="240"/>
      <c r="AP19" s="214"/>
      <c r="AQ19" s="214"/>
      <c r="AR19" s="214"/>
      <c r="AS19" s="216"/>
      <c r="AT19" s="18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5" customFormat="1" ht="12.75">
      <c r="A20" s="14"/>
      <c r="B20" s="56"/>
      <c r="C20" s="4"/>
      <c r="D20" s="96"/>
      <c r="E20" s="4"/>
      <c r="F20" s="60"/>
      <c r="G20" s="60"/>
      <c r="H20" s="57"/>
      <c r="I20" s="57"/>
      <c r="J20" s="102"/>
      <c r="K20" s="60"/>
      <c r="L20" s="57"/>
      <c r="M20" s="60"/>
      <c r="N20" s="60"/>
      <c r="O20" s="60"/>
      <c r="P20" s="60"/>
      <c r="Q20" s="57"/>
      <c r="R20" s="60"/>
      <c r="S20" s="60"/>
      <c r="T20" s="102"/>
      <c r="U20" s="60"/>
      <c r="V20" s="60"/>
      <c r="W20" s="60"/>
      <c r="X20" s="56"/>
      <c r="Y20" s="60"/>
      <c r="Z20" s="60"/>
      <c r="AA20" s="60"/>
      <c r="AB20" s="60"/>
      <c r="AC20" s="60"/>
      <c r="AD20" s="57"/>
      <c r="AE20" s="60"/>
      <c r="AF20" s="60"/>
      <c r="AG20" s="60"/>
      <c r="AH20" s="60"/>
      <c r="AI20" s="60"/>
      <c r="AJ20" s="60"/>
      <c r="AK20" s="4"/>
      <c r="AL20" s="4"/>
      <c r="AM20" s="83"/>
      <c r="AN20" s="59"/>
      <c r="AO20" s="59"/>
      <c r="AP20" s="59"/>
      <c r="AQ20" s="59"/>
      <c r="AR20" s="59"/>
      <c r="AS20" s="4"/>
      <c r="AT20" s="88"/>
    </row>
    <row r="21" spans="1:91" s="55" customFormat="1" ht="12.75">
      <c r="A21" s="14"/>
      <c r="B21" s="56"/>
      <c r="C21" s="14" t="s">
        <v>13</v>
      </c>
      <c r="D21" s="96"/>
      <c r="E21" s="4"/>
      <c r="F21" s="60"/>
      <c r="G21" s="60"/>
      <c r="H21" s="57"/>
      <c r="I21" s="57"/>
      <c r="J21" s="102"/>
      <c r="K21" s="60"/>
      <c r="L21" s="57"/>
      <c r="M21" s="60"/>
      <c r="N21" s="60"/>
      <c r="O21" s="60"/>
      <c r="P21" s="60"/>
      <c r="Q21" s="57"/>
      <c r="R21" s="60"/>
      <c r="S21" s="60"/>
      <c r="T21" s="102"/>
      <c r="U21" s="60"/>
      <c r="V21" s="60"/>
      <c r="W21" s="60"/>
      <c r="X21" s="56"/>
      <c r="Y21" s="60"/>
      <c r="Z21" s="60"/>
      <c r="AA21" s="60"/>
      <c r="AB21" s="60"/>
      <c r="AC21" s="60"/>
      <c r="AD21" s="57"/>
      <c r="AE21" s="60"/>
      <c r="AF21" s="60"/>
      <c r="AG21" s="60"/>
      <c r="AH21" s="60"/>
      <c r="AI21" s="60"/>
      <c r="AJ21" s="60"/>
      <c r="AK21" s="4"/>
      <c r="AL21" s="4"/>
      <c r="AM21" s="83"/>
      <c r="AN21" s="59"/>
      <c r="AO21" s="59"/>
      <c r="AP21" s="59"/>
      <c r="AQ21" s="59"/>
      <c r="AR21" s="59"/>
      <c r="AS21" s="4"/>
      <c r="AT21" s="88"/>
    </row>
    <row r="22" spans="1:91" s="55" customFormat="1" ht="12.75">
      <c r="A22" s="12"/>
      <c r="B22" s="12"/>
      <c r="C22" s="4"/>
      <c r="D22" s="96"/>
      <c r="E22" s="4"/>
      <c r="F22" s="60"/>
      <c r="G22" s="60"/>
      <c r="H22" s="103"/>
      <c r="I22" s="103"/>
      <c r="J22" s="103"/>
      <c r="K22" s="60"/>
      <c r="L22" s="103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103"/>
      <c r="AE22" s="60"/>
      <c r="AF22" s="60"/>
      <c r="AG22" s="60"/>
      <c r="AH22" s="60"/>
      <c r="AI22" s="60"/>
      <c r="AJ22" s="60"/>
      <c r="AK22" s="4"/>
      <c r="AL22" s="4"/>
      <c r="AM22" s="83"/>
      <c r="AN22" s="61"/>
      <c r="AO22" s="61"/>
      <c r="AP22" s="61"/>
      <c r="AQ22" s="61"/>
      <c r="AR22" s="61"/>
      <c r="AS22" s="4"/>
      <c r="AT22" s="88"/>
    </row>
    <row r="23" spans="1:91" s="58" customFormat="1" ht="15" customHeight="1">
      <c r="A23" s="12"/>
      <c r="B23" s="12"/>
      <c r="C23" s="4"/>
      <c r="D23" s="96"/>
      <c r="E23" s="4"/>
      <c r="F23" s="60"/>
      <c r="G23" s="60"/>
      <c r="H23" s="103"/>
      <c r="I23" s="103"/>
      <c r="J23" s="103"/>
      <c r="K23" s="60"/>
      <c r="L23" s="103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103"/>
      <c r="AE23" s="60"/>
      <c r="AF23" s="60"/>
      <c r="AG23" s="60"/>
      <c r="AH23" s="60"/>
      <c r="AI23" s="60"/>
      <c r="AJ23" s="60"/>
      <c r="AK23" s="4"/>
      <c r="AL23" s="4"/>
      <c r="AM23" s="83"/>
      <c r="AN23" s="61"/>
      <c r="AO23" s="61"/>
      <c r="AP23" s="61"/>
      <c r="AQ23" s="61"/>
      <c r="AR23" s="61"/>
      <c r="AS23" s="4"/>
      <c r="AT23" s="4"/>
    </row>
    <row r="24" spans="1:91" s="58" customFormat="1" ht="11.25">
      <c r="A24" s="12"/>
      <c r="B24" s="12"/>
      <c r="C24" s="4"/>
      <c r="D24" s="96"/>
      <c r="E24" s="4"/>
      <c r="F24" s="60"/>
      <c r="G24" s="60"/>
      <c r="H24" s="103"/>
      <c r="I24" s="103"/>
      <c r="J24" s="103"/>
      <c r="K24" s="60"/>
      <c r="L24" s="103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103"/>
      <c r="AE24" s="60"/>
      <c r="AF24" s="60"/>
      <c r="AG24" s="60"/>
      <c r="AH24" s="60"/>
      <c r="AI24" s="60"/>
      <c r="AJ24" s="60"/>
      <c r="AK24" s="4"/>
      <c r="AL24" s="4"/>
      <c r="AM24" s="83"/>
      <c r="AN24" s="61"/>
      <c r="AO24" s="61"/>
      <c r="AP24" s="61"/>
      <c r="AQ24" s="61"/>
      <c r="AR24" s="61"/>
      <c r="AS24" s="4"/>
      <c r="AT24" s="4"/>
    </row>
    <row r="25" spans="1:91" s="58" customFormat="1" ht="11.25">
      <c r="A25" s="12"/>
      <c r="B25" s="12"/>
      <c r="C25" s="4"/>
      <c r="D25" s="96"/>
      <c r="E25" s="4"/>
      <c r="F25" s="60"/>
      <c r="G25" s="60"/>
      <c r="H25" s="103"/>
      <c r="I25" s="103"/>
      <c r="J25" s="103"/>
      <c r="K25" s="60"/>
      <c r="L25" s="103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103"/>
      <c r="AE25" s="60"/>
      <c r="AF25" s="60"/>
      <c r="AG25" s="60"/>
      <c r="AH25" s="60"/>
      <c r="AI25" s="60"/>
      <c r="AJ25" s="60"/>
      <c r="AK25" s="4"/>
      <c r="AL25" s="4"/>
      <c r="AM25" s="83"/>
      <c r="AN25" s="61"/>
      <c r="AO25" s="61"/>
      <c r="AP25" s="61"/>
      <c r="AQ25" s="61"/>
      <c r="AR25" s="61"/>
      <c r="AS25" s="4"/>
      <c r="AT25" s="4"/>
    </row>
    <row r="26" spans="1:91" s="58" customFormat="1" ht="11.25">
      <c r="A26" s="10"/>
      <c r="B26" s="10"/>
      <c r="C26" s="14"/>
      <c r="D26" s="97"/>
      <c r="E26" s="62"/>
      <c r="F26" s="102"/>
      <c r="G26" s="104"/>
      <c r="H26" s="57"/>
      <c r="I26" s="57"/>
      <c r="J26" s="57"/>
      <c r="K26" s="104"/>
      <c r="L26" s="57"/>
      <c r="M26" s="104"/>
      <c r="N26" s="104"/>
      <c r="O26" s="104"/>
      <c r="P26" s="104"/>
      <c r="Q26" s="57"/>
      <c r="R26" s="102"/>
      <c r="S26" s="104"/>
      <c r="T26" s="104"/>
      <c r="U26" s="57"/>
      <c r="V26" s="104"/>
      <c r="W26" s="104"/>
      <c r="X26" s="57"/>
      <c r="Y26" s="104"/>
      <c r="Z26" s="104"/>
      <c r="AA26" s="104"/>
      <c r="AB26" s="104"/>
      <c r="AC26" s="104"/>
      <c r="AD26" s="57"/>
      <c r="AE26" s="104"/>
      <c r="AF26" s="104"/>
      <c r="AG26" s="104"/>
      <c r="AH26" s="104"/>
      <c r="AI26" s="104"/>
      <c r="AJ26" s="104"/>
      <c r="AK26" s="62"/>
      <c r="AM26" s="84"/>
      <c r="AN26" s="10"/>
      <c r="AO26" s="10"/>
      <c r="AP26" s="10"/>
      <c r="AQ26" s="10"/>
      <c r="AR26" s="10"/>
      <c r="AS26" s="14"/>
      <c r="AT26" s="4"/>
    </row>
    <row r="27" spans="1:91" s="58" customFormat="1" ht="12.75">
      <c r="A27" s="2"/>
      <c r="B27" s="2" t="s">
        <v>0</v>
      </c>
      <c r="C27" s="2"/>
      <c r="D27" s="178"/>
      <c r="E27" s="2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6"/>
      <c r="AI27" s="106"/>
      <c r="AJ27" s="106"/>
      <c r="AK27" s="2"/>
      <c r="AL27" s="2"/>
      <c r="AM27" s="85"/>
      <c r="AN27" s="2"/>
      <c r="AO27" s="2"/>
      <c r="AP27" s="2"/>
      <c r="AQ27" s="2"/>
      <c r="AR27" s="2"/>
      <c r="AS27" s="2"/>
      <c r="AT27" s="4"/>
    </row>
    <row r="28" spans="1:91" s="58" customFormat="1" ht="12.75">
      <c r="A28" s="2"/>
      <c r="B28" s="2"/>
      <c r="C28" s="2" t="s">
        <v>39</v>
      </c>
      <c r="D28" s="178"/>
      <c r="E28" s="2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6"/>
      <c r="AI28" s="106"/>
      <c r="AJ28" s="106"/>
      <c r="AK28" s="2"/>
      <c r="AL28" s="2"/>
      <c r="AM28" s="85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40</v>
      </c>
    </row>
    <row r="30" spans="1:91" ht="15" customHeight="1">
      <c r="C30" s="2" t="s">
        <v>41</v>
      </c>
    </row>
    <row r="31" spans="1:91" s="178" customFormat="1" ht="15" customHeight="1">
      <c r="A31" s="2"/>
      <c r="B31" s="2"/>
      <c r="C31" s="2" t="s">
        <v>42</v>
      </c>
      <c r="E31" s="2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6"/>
      <c r="AI31" s="106"/>
      <c r="AJ31" s="106"/>
      <c r="AK31" s="2"/>
      <c r="AL31" s="2"/>
      <c r="AM31" s="85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78" customFormat="1" ht="15" customHeight="1">
      <c r="A32" s="2"/>
      <c r="B32" s="2"/>
      <c r="C32" s="2" t="s">
        <v>43</v>
      </c>
      <c r="E32" s="2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  <c r="AI32" s="106"/>
      <c r="AJ32" s="106"/>
      <c r="AK32" s="2"/>
      <c r="AL32" s="2"/>
      <c r="AM32" s="85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78" customFormat="1" ht="15" customHeight="1">
      <c r="A33" s="2"/>
      <c r="B33" s="2"/>
      <c r="C33" s="2" t="s">
        <v>44</v>
      </c>
      <c r="E33" s="2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  <c r="AI33" s="106"/>
      <c r="AJ33" s="106"/>
      <c r="AK33" s="2"/>
      <c r="AL33" s="2"/>
      <c r="AM33" s="85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78" customFormat="1" ht="15" customHeight="1">
      <c r="A34" s="2"/>
      <c r="B34" s="2"/>
      <c r="C34" s="2" t="s">
        <v>45</v>
      </c>
      <c r="E34" s="2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  <c r="AI34" s="106"/>
      <c r="AJ34" s="106"/>
      <c r="AK34" s="2"/>
      <c r="AL34" s="2"/>
      <c r="AM34" s="85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78" customFormat="1" ht="15" customHeight="1">
      <c r="A35" s="2"/>
      <c r="B35" s="2"/>
      <c r="C35" s="2" t="s">
        <v>46</v>
      </c>
      <c r="E35" s="2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  <c r="AI35" s="106"/>
      <c r="AJ35" s="106"/>
      <c r="AK35" s="2"/>
      <c r="AL35" s="2"/>
      <c r="AM35" s="85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78" customFormat="1" ht="15" customHeight="1">
      <c r="A36" s="2"/>
      <c r="B36" s="2"/>
      <c r="C36" s="2" t="s">
        <v>47</v>
      </c>
      <c r="E36" s="2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  <c r="AI36" s="106"/>
      <c r="AJ36" s="106"/>
      <c r="AK36" s="2"/>
      <c r="AL36" s="2"/>
      <c r="AM36" s="85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2:J25 Q20:Q21" name="Range1_1_1_1"/>
    <protectedRange password="CC78" sqref="J26" name="Range1_3_1_1"/>
    <protectedRange password="CC78" sqref="A16:A19" name="Range1_1_2"/>
    <protectedRange password="CC78" sqref="C16:E19 A16:A19" name="Range1_6_2"/>
    <protectedRange password="CC78" sqref="B16:B19" name="Range1_4_2"/>
  </protectedRanges>
  <mergeCells count="79">
    <mergeCell ref="AL18:AL19"/>
    <mergeCell ref="AL13:AL14"/>
    <mergeCell ref="AO13:AO14"/>
    <mergeCell ref="AL16:AL17"/>
    <mergeCell ref="A18:A19"/>
    <mergeCell ref="B18:B19"/>
    <mergeCell ref="AM13:AM14"/>
    <mergeCell ref="AN13:AN14"/>
    <mergeCell ref="A13:A14"/>
    <mergeCell ref="B13:B14"/>
    <mergeCell ref="C13:C14"/>
    <mergeCell ref="D13:D14"/>
    <mergeCell ref="AK13:AK14"/>
    <mergeCell ref="C18:C19"/>
    <mergeCell ref="D18:D19"/>
    <mergeCell ref="AK18:AK19"/>
    <mergeCell ref="AS13:AS14"/>
    <mergeCell ref="AL11:AL12"/>
    <mergeCell ref="AM11:AM12"/>
    <mergeCell ref="AN11:AN12"/>
    <mergeCell ref="AO11:AO12"/>
    <mergeCell ref="AP13:AP14"/>
    <mergeCell ref="AQ13:AQ14"/>
    <mergeCell ref="AR13:AR14"/>
    <mergeCell ref="AS18:AS19"/>
    <mergeCell ref="AM18:AM19"/>
    <mergeCell ref="AN18:AN19"/>
    <mergeCell ref="AO18:AO19"/>
    <mergeCell ref="AP18:AP19"/>
    <mergeCell ref="AQ18:AQ19"/>
    <mergeCell ref="AR18:AR19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9:A10"/>
    <mergeCell ref="AP11:AP12"/>
    <mergeCell ref="AQ11:AQ12"/>
    <mergeCell ref="AR11:AR12"/>
    <mergeCell ref="AS11:AS12"/>
    <mergeCell ref="C9:C10"/>
    <mergeCell ref="D9:D10"/>
    <mergeCell ref="AK9:AK10"/>
    <mergeCell ref="B9:B10"/>
    <mergeCell ref="A11:A12"/>
    <mergeCell ref="B11:B12"/>
    <mergeCell ref="C11:C12"/>
    <mergeCell ref="D11:D12"/>
    <mergeCell ref="AK11:AK12"/>
    <mergeCell ref="A16:A17"/>
    <mergeCell ref="B16:B17"/>
    <mergeCell ref="C16:C17"/>
    <mergeCell ref="D16:D17"/>
    <mergeCell ref="AK16:AK17"/>
    <mergeCell ref="AR16:AR17"/>
    <mergeCell ref="AS16:AS17"/>
    <mergeCell ref="AM16:AM17"/>
    <mergeCell ref="AN16:AN17"/>
    <mergeCell ref="AO16:AO17"/>
    <mergeCell ref="AP16:AP17"/>
    <mergeCell ref="AQ16:AQ17"/>
  </mergeCells>
  <conditionalFormatting sqref="F5:AJ6 F9:AJ10 F13:AJ14">
    <cfRule type="expression" dxfId="7" priority="37" stopIfTrue="1">
      <formula>IF(WEEKDAY(F$5)=1,TRUE,FALSE)</formula>
    </cfRule>
  </conditionalFormatting>
  <conditionalFormatting sqref="F9:AJ10 F13:AJ14">
    <cfRule type="expression" dxfId="6" priority="36" stopIfTrue="1">
      <formula>IF(WEEKDAY(F$5)=1,TRUE,FALSE)</formula>
    </cfRule>
  </conditionalFormatting>
  <conditionalFormatting sqref="F18:AJ19">
    <cfRule type="expression" dxfId="5" priority="10" stopIfTrue="1">
      <formula>IF(WEEKDAY(F$5)=1,TRUE,FALSE)</formula>
    </cfRule>
  </conditionalFormatting>
  <conditionalFormatting sqref="F18:AJ19">
    <cfRule type="expression" dxfId="4" priority="9" stopIfTrue="1">
      <formula>IF(WEEKDAY(F$5)=1,TRUE,FALSE)</formula>
    </cfRule>
  </conditionalFormatting>
  <conditionalFormatting sqref="F11:AJ12">
    <cfRule type="expression" dxfId="3" priority="4" stopIfTrue="1">
      <formula>IF(WEEKDAY(F$5)=1,TRUE,FALSE)</formula>
    </cfRule>
  </conditionalFormatting>
  <conditionalFormatting sqref="F11:AJ12">
    <cfRule type="expression" dxfId="2" priority="3" stopIfTrue="1">
      <formula>IF(WEEKDAY(F$5)=1,TRUE,FALSE)</formula>
    </cfRule>
  </conditionalFormatting>
  <conditionalFormatting sqref="F16:AJ17">
    <cfRule type="expression" dxfId="1" priority="2" stopIfTrue="1">
      <formula>IF(WEEKDAY(F$5)=1,TRUE,FALSE)</formula>
    </cfRule>
  </conditionalFormatting>
  <conditionalFormatting sqref="F16:AJ1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30"/>
  <sheetViews>
    <sheetView tabSelected="1"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Q19" activeCellId="1" sqref="Q14 Q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6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1"/>
      <c r="B1" s="182"/>
      <c r="C1" s="182"/>
      <c r="D1" s="255" t="str">
        <f>"BẢNG THANH TOÁN LƯƠNG THÁNG"&amp;" "&amp;TEXT($E$4,"mm")&amp;" / "&amp;TEXT($E$4,"yyyy")</f>
        <v>BẢNG THANH TOÁN LƯƠNG THÁNG 03 / 2017</v>
      </c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6"/>
      <c r="P1" s="241" t="s">
        <v>76</v>
      </c>
      <c r="Q1" s="242"/>
      <c r="R1" s="243"/>
      <c r="S1" s="112" t="s">
        <v>49</v>
      </c>
      <c r="T1" s="94" t="s">
        <v>32</v>
      </c>
      <c r="U1" s="68"/>
      <c r="V1" s="68"/>
      <c r="W1" s="5"/>
      <c r="X1" s="5"/>
    </row>
    <row r="2" spans="1:29" s="4" customFormat="1" ht="15" customHeight="1">
      <c r="A2" s="121"/>
      <c r="B2" s="182"/>
      <c r="C2" s="182"/>
      <c r="D2" s="182"/>
      <c r="E2" s="66"/>
      <c r="F2" s="182"/>
      <c r="G2" s="182"/>
      <c r="H2" s="182"/>
      <c r="I2" s="182"/>
      <c r="J2" s="67"/>
      <c r="K2" s="182"/>
      <c r="L2" s="182"/>
      <c r="M2" s="182"/>
      <c r="N2" s="182"/>
      <c r="O2" s="182"/>
      <c r="P2" s="182"/>
      <c r="Q2" s="182"/>
      <c r="R2" s="44"/>
      <c r="S2" s="65">
        <f>MAX(F10:F19)</f>
        <v>27</v>
      </c>
      <c r="T2" s="95">
        <v>31</v>
      </c>
      <c r="U2" s="68"/>
      <c r="V2" s="68"/>
      <c r="W2" s="5"/>
      <c r="X2" s="5"/>
    </row>
    <row r="3" spans="1:29" s="4" customFormat="1" ht="15" customHeight="1">
      <c r="A3" s="121"/>
      <c r="B3" s="182"/>
      <c r="C3" s="182"/>
      <c r="D3" s="182"/>
      <c r="E3" s="66"/>
      <c r="F3" s="182"/>
      <c r="G3" s="182"/>
      <c r="H3" s="182"/>
      <c r="I3" s="182"/>
      <c r="J3" s="67"/>
      <c r="K3" s="182"/>
      <c r="L3" s="182"/>
      <c r="M3" s="182"/>
      <c r="N3" s="182"/>
      <c r="O3" s="182"/>
      <c r="P3" s="182"/>
      <c r="Q3" s="182"/>
      <c r="R3" s="44"/>
      <c r="S3" s="113"/>
      <c r="T3" s="114"/>
      <c r="U3" s="68"/>
      <c r="V3" s="68"/>
      <c r="W3" s="5"/>
      <c r="X3" s="5"/>
    </row>
    <row r="4" spans="1:29" s="89" customFormat="1" ht="14.25" customHeight="1">
      <c r="A4" s="87"/>
      <c r="B4" s="88"/>
      <c r="C4" s="88"/>
      <c r="D4" s="88"/>
      <c r="E4" s="165">
        <f>'CC -3'!$E$4</f>
        <v>42795</v>
      </c>
      <c r="F4" s="88"/>
      <c r="G4" s="88"/>
      <c r="H4" s="88"/>
      <c r="I4" s="88"/>
      <c r="J4" s="88"/>
      <c r="K4" s="88"/>
      <c r="L4" s="141">
        <v>0.08</v>
      </c>
      <c r="M4" s="141">
        <v>1.4999999999999999E-2</v>
      </c>
      <c r="N4" s="141">
        <v>0.01</v>
      </c>
      <c r="O4" s="88"/>
      <c r="P4" s="88"/>
      <c r="Q4" s="88"/>
      <c r="R4" s="88"/>
      <c r="S4" s="88"/>
      <c r="T4" s="90"/>
      <c r="U4" s="90"/>
      <c r="V4" s="90"/>
      <c r="W4" s="90"/>
      <c r="X4" s="90"/>
    </row>
    <row r="5" spans="1:29" s="21" customFormat="1" ht="24" customHeight="1">
      <c r="A5" s="244" t="s">
        <v>18</v>
      </c>
      <c r="B5" s="244" t="s">
        <v>19</v>
      </c>
      <c r="C5" s="208" t="s">
        <v>1</v>
      </c>
      <c r="D5" s="208" t="s">
        <v>2</v>
      </c>
      <c r="E5" s="211" t="s">
        <v>48</v>
      </c>
      <c r="F5" s="247" t="s">
        <v>23</v>
      </c>
      <c r="G5" s="248"/>
      <c r="H5" s="248"/>
      <c r="I5" s="248"/>
      <c r="J5" s="248"/>
      <c r="K5" s="249"/>
      <c r="L5" s="208" t="s">
        <v>5</v>
      </c>
      <c r="M5" s="208"/>
      <c r="N5" s="208"/>
      <c r="O5" s="246" t="s">
        <v>6</v>
      </c>
      <c r="P5" s="246" t="s">
        <v>7</v>
      </c>
      <c r="Q5" s="246" t="s">
        <v>8</v>
      </c>
      <c r="R5" s="209" t="s">
        <v>9</v>
      </c>
      <c r="S5" s="88"/>
      <c r="T5" s="22"/>
      <c r="U5" s="22"/>
      <c r="V5" s="5"/>
      <c r="W5" s="5"/>
      <c r="X5" s="5"/>
      <c r="Y5" s="4"/>
      <c r="Z5" s="4"/>
      <c r="AA5" s="4"/>
      <c r="AB5" s="4"/>
      <c r="AC5" s="4"/>
    </row>
    <row r="6" spans="1:29" s="21" customFormat="1" ht="33.75" customHeight="1">
      <c r="A6" s="245"/>
      <c r="B6" s="245"/>
      <c r="C6" s="208"/>
      <c r="D6" s="208"/>
      <c r="E6" s="211"/>
      <c r="F6" s="247" t="s">
        <v>50</v>
      </c>
      <c r="G6" s="249"/>
      <c r="H6" s="247" t="s">
        <v>69</v>
      </c>
      <c r="I6" s="248"/>
      <c r="J6" s="251" t="s">
        <v>24</v>
      </c>
      <c r="K6" s="246" t="s">
        <v>4</v>
      </c>
      <c r="L6" s="253" t="s">
        <v>11</v>
      </c>
      <c r="M6" s="246" t="s">
        <v>12</v>
      </c>
      <c r="N6" s="246" t="s">
        <v>30</v>
      </c>
      <c r="O6" s="250"/>
      <c r="P6" s="250"/>
      <c r="Q6" s="250"/>
      <c r="R6" s="210"/>
      <c r="S6" s="88"/>
      <c r="T6" s="22"/>
      <c r="U6" s="22"/>
      <c r="V6" s="5"/>
      <c r="W6" s="5"/>
      <c r="X6" s="5"/>
      <c r="Y6" s="4"/>
      <c r="Z6" s="4"/>
      <c r="AA6" s="4"/>
      <c r="AB6" s="4"/>
      <c r="AC6" s="4"/>
    </row>
    <row r="7" spans="1:29" s="21" customFormat="1" ht="35.25" customHeight="1">
      <c r="A7" s="245"/>
      <c r="B7" s="245"/>
      <c r="C7" s="246"/>
      <c r="D7" s="246"/>
      <c r="E7" s="211"/>
      <c r="F7" s="181" t="s">
        <v>33</v>
      </c>
      <c r="G7" s="179" t="s">
        <v>17</v>
      </c>
      <c r="H7" s="181" t="s">
        <v>33</v>
      </c>
      <c r="I7" s="110" t="s">
        <v>17</v>
      </c>
      <c r="J7" s="252"/>
      <c r="K7" s="250"/>
      <c r="L7" s="254"/>
      <c r="M7" s="250"/>
      <c r="N7" s="250"/>
      <c r="O7" s="250"/>
      <c r="P7" s="250"/>
      <c r="Q7" s="250"/>
      <c r="R7" s="210"/>
      <c r="S7" s="88"/>
      <c r="T7" s="22"/>
      <c r="U7" s="22"/>
      <c r="V7" s="5"/>
      <c r="W7" s="5"/>
      <c r="X7" s="5"/>
      <c r="Y7" s="4"/>
      <c r="Z7" s="4"/>
      <c r="AA7" s="4"/>
      <c r="AB7" s="4"/>
      <c r="AC7" s="4"/>
    </row>
    <row r="8" spans="1:29" s="70" customFormat="1" ht="12.75" customHeight="1">
      <c r="A8" s="69">
        <v>1</v>
      </c>
      <c r="B8" s="69">
        <v>1</v>
      </c>
      <c r="C8" s="69">
        <v>2</v>
      </c>
      <c r="D8" s="69">
        <v>3</v>
      </c>
      <c r="E8" s="69">
        <v>4</v>
      </c>
      <c r="F8" s="69">
        <v>5</v>
      </c>
      <c r="G8" s="69">
        <v>6</v>
      </c>
      <c r="H8" s="69">
        <v>7</v>
      </c>
      <c r="I8" s="69">
        <v>8</v>
      </c>
      <c r="J8" s="69">
        <v>9</v>
      </c>
      <c r="K8" s="69">
        <v>10</v>
      </c>
      <c r="L8" s="69">
        <v>13</v>
      </c>
      <c r="M8" s="69">
        <v>14</v>
      </c>
      <c r="N8" s="69">
        <v>15</v>
      </c>
      <c r="O8" s="69">
        <v>16</v>
      </c>
      <c r="P8" s="69">
        <v>17</v>
      </c>
      <c r="Q8" s="69">
        <v>18</v>
      </c>
      <c r="R8" s="69">
        <v>19</v>
      </c>
      <c r="S8" s="88"/>
      <c r="T8" s="71"/>
      <c r="U8" s="71"/>
      <c r="V8" s="72"/>
      <c r="W8" s="72"/>
      <c r="X8" s="72"/>
      <c r="Y8" s="73"/>
      <c r="Z8" s="73"/>
      <c r="AA8" s="73"/>
      <c r="AB8" s="73"/>
      <c r="AC8" s="73"/>
    </row>
    <row r="9" spans="1:29" s="70" customFormat="1" ht="24" customHeight="1">
      <c r="A9" s="164" t="s">
        <v>66</v>
      </c>
      <c r="B9" s="163" t="s">
        <v>77</v>
      </c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88"/>
      <c r="T9" s="71"/>
      <c r="U9" s="71"/>
      <c r="V9" s="72"/>
      <c r="W9" s="72"/>
      <c r="X9" s="72"/>
      <c r="Y9" s="73"/>
      <c r="Z9" s="73"/>
      <c r="AA9" s="73"/>
      <c r="AB9" s="73"/>
      <c r="AC9" s="73"/>
    </row>
    <row r="10" spans="1:29" s="27" customFormat="1" ht="24" customHeight="1">
      <c r="A10" s="29">
        <v>1</v>
      </c>
      <c r="B10" s="123" t="s">
        <v>72</v>
      </c>
      <c r="C10" s="74" t="str">
        <f>VLOOKUP(B10,DS,2,0)</f>
        <v>Nguyễn Phước Bảo Việt Hùng</v>
      </c>
      <c r="D10" s="98" t="str">
        <f>VLOOKUP(B10,DS,3,0)</f>
        <v>Kinh Doanh</v>
      </c>
      <c r="E10" s="75">
        <f>VLOOKUP(B10,DS,4,0)</f>
        <v>4012500</v>
      </c>
      <c r="F10" s="77">
        <f>VLOOKUP(B10,'CC -3'!$B$8:$AS$19,36,0)</f>
        <v>27</v>
      </c>
      <c r="G10" s="127">
        <f>ROUND(E10/$S$2*F10,0)</f>
        <v>4012500</v>
      </c>
      <c r="H10" s="77">
        <f>(VLOOKUP(B10,'CC -3'!$B$8:$AS$19,37,0)+VLOOKUP(B10,'CC -3'!$B$8:$AS$19,38,0))</f>
        <v>0</v>
      </c>
      <c r="I10" s="127">
        <f>ROUND(E10/$S$2*H10,0)</f>
        <v>0</v>
      </c>
      <c r="J10" s="78">
        <f t="shared" ref="J10:K12" si="0">F10+H10</f>
        <v>27</v>
      </c>
      <c r="K10" s="30">
        <f t="shared" si="0"/>
        <v>4012500</v>
      </c>
      <c r="L10" s="31">
        <f t="shared" ref="L10:N12" si="1">IF(VLOOKUP($B10,DS,13,0)="x",$E10*L$4,0)</f>
        <v>321000</v>
      </c>
      <c r="M10" s="31">
        <f t="shared" si="1"/>
        <v>60187.5</v>
      </c>
      <c r="N10" s="31">
        <f t="shared" si="1"/>
        <v>40125</v>
      </c>
      <c r="O10" s="30">
        <f>K10-SUM(L10:N10)</f>
        <v>3591187.5</v>
      </c>
      <c r="P10" s="30"/>
      <c r="Q10" s="36">
        <f>O10-P10</f>
        <v>3591187.5</v>
      </c>
      <c r="R10" s="30"/>
      <c r="S10" s="88"/>
      <c r="T10" s="28"/>
      <c r="U10" s="22"/>
      <c r="V10" s="5"/>
      <c r="W10" s="5"/>
      <c r="X10" s="5"/>
      <c r="Y10" s="4"/>
      <c r="Z10" s="4"/>
      <c r="AA10" s="4"/>
      <c r="AB10" s="4"/>
      <c r="AC10" s="4"/>
    </row>
    <row r="11" spans="1:29" s="27" customFormat="1" ht="24" customHeight="1">
      <c r="A11" s="29">
        <v>2</v>
      </c>
      <c r="B11" s="123" t="s">
        <v>73</v>
      </c>
      <c r="C11" s="74" t="str">
        <f>VLOOKUP(B11,DS,2,0)</f>
        <v>Mai Thị Hường</v>
      </c>
      <c r="D11" s="98" t="str">
        <f>VLOOKUP(B11,DS,3,0)</f>
        <v>Kế Toán</v>
      </c>
      <c r="E11" s="75">
        <f>VLOOKUP(B11,DS,4,0)</f>
        <v>4012500</v>
      </c>
      <c r="F11" s="77">
        <f>VLOOKUP(B11,'CC -3'!$B$8:$AS$19,36,0)</f>
        <v>27</v>
      </c>
      <c r="G11" s="127">
        <f>ROUND(E11/$S$2*F11,0)</f>
        <v>4012500</v>
      </c>
      <c r="H11" s="77">
        <f>(VLOOKUP(B11,'CC -3'!$B$8:$AS$19,37,0)+VLOOKUP(B11,'CC -3'!$B$8:$AS$19,38,0))</f>
        <v>0</v>
      </c>
      <c r="I11" s="127">
        <f>ROUND(E11/$S$2*H11,0)</f>
        <v>0</v>
      </c>
      <c r="J11" s="78">
        <f t="shared" si="0"/>
        <v>27</v>
      </c>
      <c r="K11" s="30">
        <f t="shared" si="0"/>
        <v>4012500</v>
      </c>
      <c r="L11" s="31">
        <f t="shared" si="1"/>
        <v>321000</v>
      </c>
      <c r="M11" s="31">
        <f t="shared" si="1"/>
        <v>60187.5</v>
      </c>
      <c r="N11" s="31">
        <f t="shared" si="1"/>
        <v>40125</v>
      </c>
      <c r="O11" s="30">
        <f>K11-SUM(L11:N11)</f>
        <v>3591187.5</v>
      </c>
      <c r="P11" s="30"/>
      <c r="Q11" s="36">
        <f>O11-P11</f>
        <v>3591187.5</v>
      </c>
      <c r="R11" s="30"/>
      <c r="S11" s="88"/>
      <c r="T11" s="28"/>
      <c r="U11" s="22"/>
      <c r="V11" s="5"/>
      <c r="W11" s="5"/>
      <c r="X11" s="5"/>
      <c r="Y11" s="4"/>
      <c r="Z11" s="4"/>
      <c r="AA11" s="4"/>
      <c r="AB11" s="4"/>
      <c r="AC11" s="4"/>
    </row>
    <row r="12" spans="1:29" s="27" customFormat="1" ht="24" customHeight="1">
      <c r="A12" s="29">
        <v>3</v>
      </c>
      <c r="B12" s="123" t="s">
        <v>106</v>
      </c>
      <c r="C12" s="74" t="str">
        <f>VLOOKUP(B12,DS,2,0)</f>
        <v>Nguyễn Thị Thúy Hằng</v>
      </c>
      <c r="D12" s="98" t="str">
        <f>VLOOKUP(B12,DS,3,0)</f>
        <v>Trưởng Phòng</v>
      </c>
      <c r="E12" s="75">
        <f>VLOOKUP(B12,DS,4,0)</f>
        <v>7875000</v>
      </c>
      <c r="F12" s="77">
        <f>VLOOKUP(B12,'CC -3'!$B$8:$AS$19,36,0)</f>
        <v>27</v>
      </c>
      <c r="G12" s="127">
        <f>ROUND(E12/$S$2*F12,0)</f>
        <v>7875000</v>
      </c>
      <c r="H12" s="77">
        <f>(VLOOKUP(B12,'CC -3'!$B$8:$AS$19,37,0)+VLOOKUP(B12,'CC -3'!$B$8:$AS$19,38,0))</f>
        <v>0</v>
      </c>
      <c r="I12" s="127">
        <f>ROUND(E12/$S$2*H12,0)</f>
        <v>0</v>
      </c>
      <c r="J12" s="78">
        <f t="shared" si="0"/>
        <v>27</v>
      </c>
      <c r="K12" s="30">
        <f t="shared" si="0"/>
        <v>7875000</v>
      </c>
      <c r="L12" s="31">
        <f t="shared" si="1"/>
        <v>630000</v>
      </c>
      <c r="M12" s="31">
        <f t="shared" si="1"/>
        <v>118125</v>
      </c>
      <c r="N12" s="31">
        <f t="shared" si="1"/>
        <v>78750</v>
      </c>
      <c r="O12" s="30">
        <f>K12-SUM(L12:N12)</f>
        <v>7048125</v>
      </c>
      <c r="P12" s="30"/>
      <c r="Q12" s="36">
        <f>O12-P12</f>
        <v>7048125</v>
      </c>
      <c r="R12" s="30"/>
      <c r="S12" s="88"/>
      <c r="T12" s="28"/>
      <c r="U12" s="22"/>
      <c r="V12" s="5"/>
      <c r="W12" s="5"/>
      <c r="X12" s="5"/>
      <c r="Y12" s="4"/>
      <c r="Z12" s="4"/>
      <c r="AA12" s="4"/>
      <c r="AB12" s="4"/>
      <c r="AC12" s="4"/>
    </row>
    <row r="13" spans="1:29" s="27" customFormat="1" ht="24" customHeight="1">
      <c r="A13" s="29"/>
      <c r="B13" s="123"/>
      <c r="C13" s="74"/>
      <c r="D13" s="98"/>
      <c r="E13" s="75"/>
      <c r="F13" s="77"/>
      <c r="G13" s="127"/>
      <c r="H13" s="77"/>
      <c r="I13" s="127"/>
      <c r="J13" s="78"/>
      <c r="K13" s="30"/>
      <c r="L13" s="31"/>
      <c r="M13" s="31"/>
      <c r="N13" s="31"/>
      <c r="O13" s="30"/>
      <c r="P13" s="30"/>
      <c r="Q13" s="36"/>
      <c r="R13" s="175"/>
      <c r="S13" s="88"/>
      <c r="T13" s="28"/>
      <c r="U13" s="22"/>
      <c r="V13" s="5"/>
      <c r="W13" s="5"/>
      <c r="X13" s="5"/>
      <c r="Y13" s="4"/>
      <c r="Z13" s="4"/>
      <c r="AA13" s="4"/>
      <c r="AB13" s="4"/>
      <c r="AC13" s="4"/>
    </row>
    <row r="14" spans="1:29" s="25" customFormat="1" ht="21" customHeight="1">
      <c r="A14" s="195" t="s">
        <v>22</v>
      </c>
      <c r="B14" s="196"/>
      <c r="C14" s="196"/>
      <c r="D14" s="197"/>
      <c r="E14" s="122">
        <f>SUM(E9:E12)</f>
        <v>15900000</v>
      </c>
      <c r="F14" s="122"/>
      <c r="G14" s="122">
        <f>SUM(G9:G12)</f>
        <v>15900000</v>
      </c>
      <c r="H14" s="122"/>
      <c r="I14" s="122">
        <f>SUM(I9:I12)</f>
        <v>0</v>
      </c>
      <c r="J14" s="122"/>
      <c r="K14" s="122">
        <f>SUM(K9:K12)</f>
        <v>15900000</v>
      </c>
      <c r="L14" s="122">
        <f>SUM(L9:L12)</f>
        <v>1272000</v>
      </c>
      <c r="M14" s="122">
        <f>SUM(M9:M12)</f>
        <v>238500</v>
      </c>
      <c r="N14" s="122">
        <f>SUM(N9:N12)</f>
        <v>159000</v>
      </c>
      <c r="O14" s="122">
        <f>SUM(O9:O12)</f>
        <v>14230500</v>
      </c>
      <c r="P14" s="122"/>
      <c r="Q14" s="122">
        <f>SUM(Q9:Q12)</f>
        <v>14230500</v>
      </c>
      <c r="R14" s="20"/>
      <c r="S14" s="88"/>
      <c r="T14" s="26"/>
      <c r="U14" s="26"/>
      <c r="V14" s="26"/>
      <c r="W14" s="26"/>
      <c r="X14" s="26"/>
    </row>
    <row r="15" spans="1:29" s="70" customFormat="1" ht="24" customHeight="1">
      <c r="A15" s="164" t="s">
        <v>67</v>
      </c>
      <c r="B15" s="163" t="s">
        <v>68</v>
      </c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88"/>
      <c r="T15" s="71"/>
      <c r="U15" s="71"/>
      <c r="V15" s="72"/>
      <c r="W15" s="72"/>
      <c r="X15" s="72"/>
      <c r="Y15" s="73"/>
      <c r="Z15" s="73"/>
      <c r="AA15" s="73"/>
      <c r="AB15" s="73"/>
      <c r="AC15" s="73"/>
    </row>
    <row r="16" spans="1:29" s="27" customFormat="1" ht="24" customHeight="1">
      <c r="A16" s="29">
        <v>1</v>
      </c>
      <c r="B16" s="123" t="s">
        <v>74</v>
      </c>
      <c r="C16" s="74" t="str">
        <f>VLOOKUP(B16,DS,2,0)</f>
        <v>Thạch Huy Chạch</v>
      </c>
      <c r="D16" s="98" t="str">
        <f>VLOOKUP(B16,DS,3,0)</f>
        <v>Công nhân</v>
      </c>
      <c r="E16" s="75">
        <f>VLOOKUP(B16,DS,4,0)</f>
        <v>3937000</v>
      </c>
      <c r="F16" s="77">
        <f>VLOOKUP(B16,'CC -3'!$B$8:$AS$19,36,0)</f>
        <v>27</v>
      </c>
      <c r="G16" s="127">
        <f>ROUND(E16/$S$2*F16,0)</f>
        <v>3937000</v>
      </c>
      <c r="H16" s="77">
        <f>(VLOOKUP(B16,'CC -3'!$B$8:$AS$19,37,0)+VLOOKUP(B16,'CC -3'!$B$8:$AS$19,38,0))</f>
        <v>0</v>
      </c>
      <c r="I16" s="127">
        <f>ROUND(E16/$S$2*H16,0)</f>
        <v>0</v>
      </c>
      <c r="J16" s="128">
        <f>F16+H16</f>
        <v>27</v>
      </c>
      <c r="K16" s="30">
        <f>G16+I16</f>
        <v>3937000</v>
      </c>
      <c r="L16" s="31">
        <f t="shared" ref="L16:N17" si="2">IF(VLOOKUP($B16,DS,13,0)="x",$E16*L$4,0)</f>
        <v>314960</v>
      </c>
      <c r="M16" s="31">
        <f t="shared" si="2"/>
        <v>59055</v>
      </c>
      <c r="N16" s="31">
        <f t="shared" si="2"/>
        <v>39370</v>
      </c>
      <c r="O16" s="30">
        <f>K16-SUM(L16:N16)</f>
        <v>3523615</v>
      </c>
      <c r="P16" s="30"/>
      <c r="Q16" s="36">
        <f>O16-P16</f>
        <v>3523615</v>
      </c>
      <c r="R16" s="30"/>
      <c r="S16" s="88"/>
      <c r="T16" s="28"/>
      <c r="U16" s="22"/>
      <c r="V16" s="5"/>
      <c r="W16" s="5"/>
      <c r="X16" s="5"/>
      <c r="Y16" s="4"/>
      <c r="Z16" s="4"/>
      <c r="AA16" s="4"/>
      <c r="AB16" s="4"/>
      <c r="AC16" s="4"/>
    </row>
    <row r="17" spans="1:29" s="27" customFormat="1" ht="24" customHeight="1">
      <c r="A17" s="29">
        <v>2</v>
      </c>
      <c r="B17" s="123" t="s">
        <v>103</v>
      </c>
      <c r="C17" s="74" t="str">
        <f>VLOOKUP(B17,DS,2,0)</f>
        <v>Võ Ngọc Thúy Hằng</v>
      </c>
      <c r="D17" s="98" t="str">
        <f>VLOOKUP(B17,DS,3,0)</f>
        <v>Công nhân</v>
      </c>
      <c r="E17" s="75">
        <f>VLOOKUP(B17,DS,4,0)</f>
        <v>3937000</v>
      </c>
      <c r="F17" s="77">
        <f>VLOOKUP(B17,'CC -3'!$B$8:$AS$19,36,0)</f>
        <v>27</v>
      </c>
      <c r="G17" s="127">
        <f>ROUND(E17/$S$2*F17,0)</f>
        <v>3937000</v>
      </c>
      <c r="H17" s="77">
        <f>(VLOOKUP(B17,'CC -3'!$B$8:$AS$19,37,0)+VLOOKUP(B17,'CC -3'!$B$8:$AS$19,38,0))</f>
        <v>0</v>
      </c>
      <c r="I17" s="127">
        <f>ROUND(E17/$S$2*H17,0)</f>
        <v>0</v>
      </c>
      <c r="J17" s="128">
        <f>F17+H17</f>
        <v>27</v>
      </c>
      <c r="K17" s="30">
        <f>G17+I17</f>
        <v>3937000</v>
      </c>
      <c r="L17" s="31">
        <f t="shared" si="2"/>
        <v>314960</v>
      </c>
      <c r="M17" s="31">
        <f t="shared" si="2"/>
        <v>59055</v>
      </c>
      <c r="N17" s="31">
        <f t="shared" si="2"/>
        <v>39370</v>
      </c>
      <c r="O17" s="30">
        <f>K17-SUM(L17:N17)</f>
        <v>3523615</v>
      </c>
      <c r="P17" s="30"/>
      <c r="Q17" s="36">
        <f>O17-P17</f>
        <v>3523615</v>
      </c>
      <c r="R17" s="30"/>
      <c r="S17" s="88"/>
      <c r="T17" s="28"/>
      <c r="U17" s="22"/>
      <c r="V17" s="5"/>
      <c r="W17" s="5"/>
      <c r="X17" s="5"/>
      <c r="Y17" s="4"/>
      <c r="Z17" s="4"/>
      <c r="AA17" s="4"/>
      <c r="AB17" s="4"/>
      <c r="AC17" s="4"/>
    </row>
    <row r="18" spans="1:29" s="27" customFormat="1" ht="22.5" customHeight="1">
      <c r="A18" s="32"/>
      <c r="B18" s="161"/>
      <c r="C18" s="33"/>
      <c r="D18" s="3"/>
      <c r="E18" s="34"/>
      <c r="F18" s="34"/>
      <c r="G18" s="34"/>
      <c r="H18" s="34"/>
      <c r="I18" s="34"/>
      <c r="J18" s="35"/>
      <c r="K18" s="34"/>
      <c r="L18" s="34"/>
      <c r="M18" s="34"/>
      <c r="N18" s="34"/>
      <c r="O18" s="34"/>
      <c r="P18" s="34"/>
      <c r="Q18" s="34"/>
      <c r="R18" s="30"/>
      <c r="S18" s="88"/>
      <c r="T18" s="28"/>
      <c r="U18" s="28"/>
      <c r="V18" s="28"/>
      <c r="W18" s="28"/>
      <c r="X18" s="28"/>
    </row>
    <row r="19" spans="1:29" s="25" customFormat="1" ht="21" customHeight="1">
      <c r="A19" s="195" t="s">
        <v>22</v>
      </c>
      <c r="B19" s="196"/>
      <c r="C19" s="196"/>
      <c r="D19" s="197"/>
      <c r="E19" s="122">
        <f>SUM(E15:E18)</f>
        <v>7874000</v>
      </c>
      <c r="F19" s="122"/>
      <c r="G19" s="122">
        <f>SUM(G15:G18)</f>
        <v>7874000</v>
      </c>
      <c r="H19" s="122"/>
      <c r="I19" s="122">
        <f>SUM(I15:I18)</f>
        <v>0</v>
      </c>
      <c r="J19" s="122"/>
      <c r="K19" s="122">
        <f t="shared" ref="K19:Q19" si="3">SUM(K15:K18)</f>
        <v>7874000</v>
      </c>
      <c r="L19" s="122">
        <f t="shared" si="3"/>
        <v>629920</v>
      </c>
      <c r="M19" s="122">
        <f t="shared" si="3"/>
        <v>118110</v>
      </c>
      <c r="N19" s="122">
        <f t="shared" si="3"/>
        <v>78740</v>
      </c>
      <c r="O19" s="122">
        <f t="shared" si="3"/>
        <v>7047230</v>
      </c>
      <c r="P19" s="122">
        <f t="shared" si="3"/>
        <v>0</v>
      </c>
      <c r="Q19" s="122">
        <f t="shared" si="3"/>
        <v>7047230</v>
      </c>
      <c r="R19" s="20"/>
      <c r="S19" s="88"/>
      <c r="T19" s="26"/>
      <c r="U19" s="26"/>
      <c r="V19" s="26"/>
      <c r="W19" s="26"/>
      <c r="X19" s="26"/>
    </row>
    <row r="20" spans="1:29" ht="11.25" customHeight="1">
      <c r="A20" s="8"/>
      <c r="B20" s="8"/>
      <c r="C20" s="9"/>
      <c r="D20" s="99"/>
      <c r="E20" s="79"/>
      <c r="F20" s="9"/>
      <c r="G20" s="9"/>
      <c r="H20" s="9"/>
      <c r="I20" s="9"/>
      <c r="K20" s="9"/>
      <c r="L20" s="9"/>
      <c r="M20" s="9"/>
      <c r="N20" s="9"/>
      <c r="O20" s="9"/>
      <c r="P20" s="9"/>
      <c r="Q20" s="9"/>
      <c r="R20" s="9"/>
      <c r="S20" s="88"/>
    </row>
    <row r="21" spans="1:29" s="27" customFormat="1" ht="11.25" customHeight="1">
      <c r="A21" s="63"/>
      <c r="B21" s="63"/>
      <c r="C21" s="63"/>
      <c r="D21" s="115"/>
      <c r="E21" s="116"/>
      <c r="F21" s="63"/>
      <c r="G21" s="63"/>
      <c r="H21" s="63"/>
      <c r="I21" s="63"/>
      <c r="J21" s="117"/>
      <c r="K21" s="116"/>
      <c r="L21" s="63"/>
      <c r="M21" s="63"/>
      <c r="N21" s="63"/>
      <c r="O21" s="63"/>
      <c r="P21" s="63"/>
      <c r="Q21" s="92" t="str">
        <f>"Bình Dương, ngày  "&amp;$T$2&amp;"   tháng   "&amp;TEXT(E4,"mm")&amp;"   năm "&amp;TEXT(E4,"yyyy")</f>
        <v>Bình Dương, ngày  31   tháng   03   năm 2017</v>
      </c>
      <c r="R21" s="63"/>
      <c r="S21" s="118"/>
      <c r="T21" s="28"/>
      <c r="U21" s="28"/>
      <c r="V21" s="28"/>
      <c r="W21" s="28"/>
      <c r="X21" s="28"/>
    </row>
    <row r="22" spans="1:29" s="27" customFormat="1" ht="12.75">
      <c r="A22" s="23"/>
      <c r="B22" s="23"/>
      <c r="C22" s="23" t="s">
        <v>51</v>
      </c>
      <c r="D22" s="119"/>
      <c r="E22" s="64"/>
      <c r="F22" s="118"/>
      <c r="G22" s="64"/>
      <c r="H22" s="64"/>
      <c r="I22" s="64"/>
      <c r="J22" s="120"/>
      <c r="K22" s="28"/>
      <c r="L22" s="19"/>
      <c r="M22" s="19"/>
      <c r="N22" s="19"/>
      <c r="O22" s="19"/>
      <c r="Q22" s="118" t="s">
        <v>20</v>
      </c>
      <c r="R22" s="118"/>
      <c r="S22" s="118"/>
      <c r="T22" s="28"/>
      <c r="U22" s="28"/>
      <c r="V22" s="28"/>
      <c r="W22" s="28"/>
      <c r="X22" s="28"/>
    </row>
    <row r="23" spans="1:29" ht="12">
      <c r="A23" s="8"/>
      <c r="B23" s="8"/>
      <c r="C23" s="15"/>
      <c r="E23" s="13"/>
      <c r="F23" s="12"/>
      <c r="G23" s="13"/>
      <c r="H23" s="13"/>
      <c r="I23" s="13"/>
      <c r="K23" s="7"/>
      <c r="L23" s="11"/>
      <c r="M23" s="11"/>
      <c r="N23" s="11"/>
      <c r="O23" s="11"/>
      <c r="Q23" s="11"/>
      <c r="R23" s="12"/>
      <c r="S23" s="88"/>
    </row>
    <row r="24" spans="1:29" ht="12">
      <c r="C24" s="15"/>
      <c r="R24" s="15"/>
      <c r="S24" s="88"/>
    </row>
    <row r="25" spans="1:29" ht="12">
      <c r="S25" s="88"/>
    </row>
    <row r="26" spans="1:29" ht="12">
      <c r="S26" s="88"/>
    </row>
    <row r="27" spans="1:29" ht="12">
      <c r="S27" s="88"/>
    </row>
    <row r="28" spans="1:29" ht="12">
      <c r="S28" s="88"/>
    </row>
    <row r="29" spans="1:29" ht="12">
      <c r="S29" s="88"/>
    </row>
    <row r="30" spans="1:29" ht="12">
      <c r="S30" s="88"/>
    </row>
  </sheetData>
  <protectedRanges>
    <protectedRange password="CC78" sqref="T18:II19 C5:D7 B22:C22 T5:U9 A18:A23 B18:B21 B23 T15:U15 O5:R7 E5:I6 L5:N6 J6:K7 A25:R58 S31:S58 J18:Q18 T25:II58 A59:II65326 AD15:II15 T14:II14 D14:R14 D19:R19 O10:Q13 A10:B14 U10:U13 AD5:II13 O16:O17" name="Range1"/>
    <protectedRange password="CC78" sqref="F7:H7" name="Range1_4"/>
    <protectedRange password="CC78" sqref="T22:II23 Q22:R23 L22:O23 E22:I23" name="Range1_1_1"/>
    <protectedRange password="CC78" sqref="S1 U1:II3 T4:II4 L4:R4 P2:Q3 L1:O3 S18:S30 V15:AC15 B1:K4 S4:S15 V5:AC13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U16:U17 AD16:II17 P16:Q17 A16:B17" name="Range1_5"/>
    <protectedRange password="CC78" sqref="V16:AC17 S16:S17" name="Range1_2_3"/>
    <protectedRange password="CC78" sqref="T16:T17" name="Range1_1_3"/>
    <protectedRange password="CC78" sqref="K10:K13 K16:K17" name="Range1_6"/>
    <protectedRange password="CC78" sqref="A2:A3" name="Range1_2_1_3"/>
    <protectedRange password="CC78" sqref="S2" name="Range1_2_2_1_1"/>
  </protectedRanges>
  <autoFilter ref="A7:AC10"/>
  <mergeCells count="20"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TH</vt:lpstr>
      <vt:lpstr>CC -1</vt:lpstr>
      <vt:lpstr>L - 1</vt:lpstr>
      <vt:lpstr>CC -2</vt:lpstr>
      <vt:lpstr>L - 2</vt:lpstr>
      <vt:lpstr>CC -3</vt:lpstr>
      <vt:lpstr>L - 3</vt:lpstr>
      <vt:lpstr>DS</vt:lpstr>
      <vt:lpstr>DS_01</vt:lpstr>
      <vt:lpstr>DS_02</vt:lpstr>
      <vt:lpstr>DS_03</vt:lpstr>
      <vt:lpstr>'CC -1'!Print_Area</vt:lpstr>
      <vt:lpstr>'CC -2'!Print_Area</vt:lpstr>
      <vt:lpstr>'CC -3'!Print_Area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2017-05-05T06:46:13Z</dcterms:modified>
</cp:coreProperties>
</file>